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R:\1_RAPORTY\1_RAPORTY OKRESOWE\2023\4Q'2023\Spreadsheet\"/>
    </mc:Choice>
  </mc:AlternateContent>
  <xr:revisionPtr revIDLastSave="0" documentId="13_ncr:1_{2C0C8D8A-DCA4-4A41-9D71-B86568725546}" xr6:coauthVersionLast="47" xr6:coauthVersionMax="47" xr10:uidLastSave="{00000000-0000-0000-0000-000000000000}"/>
  <bookViews>
    <workbookView xWindow="14625" yWindow="-16320" windowWidth="29040" windowHeight="15720" tabRatio="922" xr2:uid="{00000000-000D-0000-FFFF-FFFF00000000}"/>
  </bookViews>
  <sheets>
    <sheet name="Informacje podstawowe" sheetId="7" r:id="rId1"/>
    <sheet name="R_wyników_Q" sheetId="8" r:id="rId2"/>
    <sheet name="R_wyników_FY" sheetId="9" r:id="rId3"/>
    <sheet name="Bilans" sheetId="10" r:id="rId4"/>
    <sheet name="Cashflow_Q" sheetId="11" r:id="rId5"/>
    <sheet name="Cashflow_FY" sheetId="12" r:id="rId6"/>
    <sheet name="Inwestycje" sheetId="14" r:id="rId7"/>
    <sheet name="HR" sheetId="1" r:id="rId8"/>
    <sheet name="Akcjonariat" sheetId="13" r:id="rId9"/>
  </sheets>
  <calcPr calcId="191029"/>
</workbook>
</file>

<file path=xl/calcChain.xml><?xml version="1.0" encoding="utf-8"?>
<calcChain xmlns="http://schemas.openxmlformats.org/spreadsheetml/2006/main">
  <c r="AI29" i="10" l="1"/>
  <c r="AH29" i="10"/>
  <c r="AG29" i="11"/>
  <c r="AG5" i="8" l="1"/>
  <c r="AG3" i="8"/>
  <c r="AG8" i="14" l="1"/>
  <c r="J28" i="9" l="1"/>
  <c r="K28" i="9"/>
  <c r="K16" i="9"/>
  <c r="AG10" i="8"/>
  <c r="K19" i="9"/>
  <c r="K17" i="9" s="1"/>
  <c r="J7" i="9" l="1"/>
  <c r="J9" i="9"/>
  <c r="K18" i="9" l="1"/>
  <c r="AQ5" i="1"/>
  <c r="AQ6" i="1"/>
  <c r="AQ7" i="1"/>
  <c r="AQ8" i="1"/>
  <c r="AQ10" i="1"/>
  <c r="AQ11" i="1"/>
  <c r="AQ3" i="1"/>
  <c r="AP11" i="1"/>
  <c r="AP5" i="1"/>
  <c r="AP6" i="1"/>
  <c r="AP7" i="1"/>
  <c r="AP8" i="1"/>
  <c r="AP10" i="1"/>
  <c r="AP3" i="1"/>
  <c r="AI3" i="14"/>
  <c r="AI4" i="14"/>
  <c r="AI5" i="14"/>
  <c r="AI6" i="14"/>
  <c r="AI7" i="14"/>
  <c r="AI2" i="14"/>
  <c r="AH3" i="14"/>
  <c r="AH4" i="14"/>
  <c r="AH6" i="14"/>
  <c r="AH7" i="14"/>
  <c r="AH2" i="14"/>
  <c r="L30" i="12"/>
  <c r="L31" i="12"/>
  <c r="L29" i="12"/>
  <c r="L23" i="12"/>
  <c r="L24" i="12"/>
  <c r="L25" i="12"/>
  <c r="L26" i="12"/>
  <c r="L27" i="12"/>
  <c r="L22" i="12"/>
  <c r="L17" i="12"/>
  <c r="L18" i="12"/>
  <c r="L19" i="12"/>
  <c r="L20" i="12"/>
  <c r="L16" i="12"/>
  <c r="L4" i="12"/>
  <c r="L5" i="12"/>
  <c r="L6" i="12"/>
  <c r="L7" i="12"/>
  <c r="L8" i="12"/>
  <c r="L9" i="12"/>
  <c r="L10" i="12"/>
  <c r="L11" i="12"/>
  <c r="L12" i="12"/>
  <c r="L13" i="12"/>
  <c r="L14" i="12"/>
  <c r="L3" i="12"/>
  <c r="AI29" i="11"/>
  <c r="AF29" i="11"/>
  <c r="AI30" i="11"/>
  <c r="AI31" i="11"/>
  <c r="AI32" i="11"/>
  <c r="AI23" i="11"/>
  <c r="AI24" i="11"/>
  <c r="AI25" i="11"/>
  <c r="AI26" i="11"/>
  <c r="AI27" i="11"/>
  <c r="AI22" i="11"/>
  <c r="AI17" i="11"/>
  <c r="AI18" i="11"/>
  <c r="AI19" i="11"/>
  <c r="AI20" i="11"/>
  <c r="AI16" i="11"/>
  <c r="AI4" i="11"/>
  <c r="AI5" i="11"/>
  <c r="AI6" i="11"/>
  <c r="AI7" i="11"/>
  <c r="AI8" i="11"/>
  <c r="AI9" i="11"/>
  <c r="AI10" i="11"/>
  <c r="AI11" i="11"/>
  <c r="AI12" i="11"/>
  <c r="AI13" i="11"/>
  <c r="AI14" i="11"/>
  <c r="AI3" i="11"/>
  <c r="AH30" i="11"/>
  <c r="AH31" i="11"/>
  <c r="AH32" i="11"/>
  <c r="AH23" i="11"/>
  <c r="AH24" i="11"/>
  <c r="AH25" i="11"/>
  <c r="AH26" i="11"/>
  <c r="AH27" i="11"/>
  <c r="AH22" i="11"/>
  <c r="AH17" i="11"/>
  <c r="AH18" i="11"/>
  <c r="AH19" i="11"/>
  <c r="AH20" i="11"/>
  <c r="AH16" i="11"/>
  <c r="AH4" i="11"/>
  <c r="AH5" i="11"/>
  <c r="AH6" i="11"/>
  <c r="AH7" i="11"/>
  <c r="AH8" i="11"/>
  <c r="AH9" i="11"/>
  <c r="AH10" i="11"/>
  <c r="AH11" i="11"/>
  <c r="AH12" i="11"/>
  <c r="AH13" i="11"/>
  <c r="AH14" i="11"/>
  <c r="AH3" i="11"/>
  <c r="AK29" i="10"/>
  <c r="AK18" i="10"/>
  <c r="AK19" i="10"/>
  <c r="AK20" i="10"/>
  <c r="AK21" i="10"/>
  <c r="AK22" i="10"/>
  <c r="AK23" i="10"/>
  <c r="AK24" i="10"/>
  <c r="AK25" i="10"/>
  <c r="AK26" i="10"/>
  <c r="AK27" i="10"/>
  <c r="AK28" i="10"/>
  <c r="AK17" i="10"/>
  <c r="AK4" i="10"/>
  <c r="AK5" i="10"/>
  <c r="AK6" i="10"/>
  <c r="AK7" i="10"/>
  <c r="AK8" i="10"/>
  <c r="AK9" i="10"/>
  <c r="AK10" i="10"/>
  <c r="AK11" i="10"/>
  <c r="AK12" i="10"/>
  <c r="AK13" i="10"/>
  <c r="AK14" i="10"/>
  <c r="AK15" i="10"/>
  <c r="AK3" i="10"/>
  <c r="AJ7" i="10"/>
  <c r="AJ18" i="10"/>
  <c r="AJ19" i="10"/>
  <c r="AJ20" i="10"/>
  <c r="AJ21" i="10"/>
  <c r="AJ22" i="10"/>
  <c r="AJ23" i="10"/>
  <c r="AJ24" i="10"/>
  <c r="AJ25" i="10"/>
  <c r="AJ26" i="10"/>
  <c r="AJ27" i="10"/>
  <c r="AJ28" i="10"/>
  <c r="AJ17" i="10"/>
  <c r="AJ4" i="10"/>
  <c r="AJ5" i="10"/>
  <c r="AJ6" i="10"/>
  <c r="AJ8" i="10"/>
  <c r="AJ9" i="10"/>
  <c r="AJ10" i="10"/>
  <c r="AJ11" i="10"/>
  <c r="AJ12" i="10"/>
  <c r="AJ13" i="10"/>
  <c r="AJ14" i="10"/>
  <c r="AJ15" i="10"/>
  <c r="AJ3" i="10"/>
  <c r="K27" i="9"/>
  <c r="K20" i="9"/>
  <c r="K15" i="9"/>
  <c r="K13" i="9"/>
  <c r="K10" i="9"/>
  <c r="K8" i="9"/>
  <c r="K6" i="9"/>
  <c r="K4" i="9"/>
  <c r="J4" i="9"/>
  <c r="L3" i="9"/>
  <c r="L5" i="9"/>
  <c r="L7" i="9"/>
  <c r="L9" i="9"/>
  <c r="L11" i="9"/>
  <c r="L12" i="9"/>
  <c r="L14" i="9"/>
  <c r="L16" i="9"/>
  <c r="L19" i="9"/>
  <c r="L21" i="9"/>
  <c r="L22" i="9"/>
  <c r="L23" i="9"/>
  <c r="L24" i="9"/>
  <c r="L25" i="9"/>
  <c r="L26" i="9"/>
  <c r="L28" i="9"/>
  <c r="L2" i="9"/>
  <c r="AG28" i="8"/>
  <c r="AG27" i="8"/>
  <c r="AG20" i="8"/>
  <c r="AG18" i="8"/>
  <c r="AG15" i="8"/>
  <c r="AG13" i="8"/>
  <c r="AG8" i="8"/>
  <c r="AG6" i="8"/>
  <c r="AG4" i="8"/>
  <c r="AF4" i="8"/>
  <c r="AI16" i="8"/>
  <c r="AH3" i="8"/>
  <c r="AH5" i="8"/>
  <c r="AH7" i="8"/>
  <c r="AH9" i="8"/>
  <c r="AH11" i="8"/>
  <c r="AH12" i="8"/>
  <c r="AH14" i="8"/>
  <c r="AH16" i="8"/>
  <c r="AH17" i="8"/>
  <c r="AH19" i="8"/>
  <c r="AH21" i="8"/>
  <c r="AH22" i="8"/>
  <c r="AH23" i="8"/>
  <c r="AH24" i="8"/>
  <c r="AH25" i="8"/>
  <c r="AH26" i="8"/>
  <c r="AH2" i="8"/>
  <c r="AF4" i="11"/>
  <c r="AF14" i="11"/>
  <c r="AF5" i="14"/>
  <c r="AH5" i="14" s="1"/>
  <c r="AF8" i="14"/>
  <c r="AH8" i="14" s="1"/>
  <c r="AE29" i="11"/>
  <c r="L4" i="9" l="1"/>
  <c r="AH29" i="11"/>
  <c r="L17" i="9"/>
  <c r="AJ29" i="10"/>
  <c r="AH4" i="8"/>
  <c r="AF28" i="8"/>
  <c r="AH28" i="8" s="1"/>
  <c r="AF6" i="8"/>
  <c r="AH6" i="8" s="1"/>
  <c r="AC26" i="11"/>
  <c r="AC25" i="11"/>
  <c r="AC24" i="11"/>
  <c r="AC27" i="11"/>
  <c r="R25" i="11"/>
  <c r="U25" i="11"/>
  <c r="U23" i="11"/>
  <c r="U22" i="11"/>
  <c r="AB26" i="11"/>
  <c r="AF8" i="8" l="1"/>
  <c r="AH8" i="8" s="1"/>
  <c r="AF10" i="8"/>
  <c r="AH10" i="8" s="1"/>
  <c r="AF13" i="8"/>
  <c r="AH13" i="8" s="1"/>
  <c r="AF15" i="8"/>
  <c r="AH15" i="8" s="1"/>
  <c r="AF18" i="8"/>
  <c r="AH18" i="8" s="1"/>
  <c r="AF20" i="8"/>
  <c r="AH20" i="8" s="1"/>
  <c r="AF27" i="8"/>
  <c r="AH27" i="8" s="1"/>
  <c r="AE5" i="14"/>
  <c r="AE6" i="14"/>
  <c r="AE7" i="14"/>
  <c r="AE3" i="14"/>
  <c r="AA29" i="11"/>
  <c r="AC29" i="11"/>
  <c r="AE26" i="11"/>
  <c r="AE4" i="11"/>
  <c r="AE13" i="11"/>
  <c r="AE12" i="11"/>
  <c r="AG29" i="10"/>
  <c r="AE8" i="14" l="1"/>
  <c r="AE28" i="8"/>
  <c r="AE6" i="8" l="1"/>
  <c r="AE8" i="8"/>
  <c r="AD8" i="14" l="1"/>
  <c r="J27" i="9"/>
  <c r="L27" i="9" s="1"/>
  <c r="J20" i="9"/>
  <c r="L20" i="9" s="1"/>
  <c r="J18" i="9"/>
  <c r="L18" i="9" s="1"/>
  <c r="J15" i="9"/>
  <c r="L15" i="9" s="1"/>
  <c r="J13" i="9"/>
  <c r="L13" i="9" s="1"/>
  <c r="J10" i="9"/>
  <c r="L10" i="9" s="1"/>
  <c r="J8" i="9"/>
  <c r="L8" i="9" s="1"/>
  <c r="J6" i="9"/>
  <c r="L6" i="9" s="1"/>
  <c r="AE27" i="8"/>
  <c r="AE20" i="8"/>
  <c r="AE18" i="8"/>
  <c r="AE15" i="8"/>
  <c r="AE13" i="8"/>
  <c r="AD15" i="8"/>
  <c r="AE10" i="8"/>
  <c r="AE4" i="8"/>
  <c r="AD28" i="8"/>
  <c r="AD27" i="8"/>
  <c r="AD20" i="8"/>
  <c r="AD18" i="8"/>
  <c r="AD16" i="8"/>
  <c r="AD13" i="8"/>
  <c r="AD10" i="8"/>
  <c r="AD8" i="8"/>
  <c r="AD6" i="8"/>
  <c r="AD4" i="8"/>
  <c r="AC23" i="11" l="1"/>
  <c r="AC4" i="11" l="1"/>
  <c r="AD29" i="11" l="1"/>
  <c r="AF29" i="10" l="1"/>
  <c r="B28" i="8"/>
  <c r="C28" i="8"/>
  <c r="D28" i="8"/>
  <c r="E28" i="8"/>
  <c r="F28" i="8"/>
  <c r="G28" i="8"/>
  <c r="H28" i="8"/>
  <c r="I28" i="8"/>
  <c r="J28" i="8"/>
  <c r="K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9" i="10"/>
  <c r="J7" i="12" l="1"/>
  <c r="AB29" i="11"/>
  <c r="AC20" i="11"/>
  <c r="AC19" i="11"/>
  <c r="AC18" i="11"/>
  <c r="AC17" i="11"/>
  <c r="AC16" i="11"/>
  <c r="AC14" i="11"/>
  <c r="AC12" i="11"/>
  <c r="AC11" i="11"/>
  <c r="AC10" i="11"/>
  <c r="AC9" i="11"/>
  <c r="AC8" i="11"/>
  <c r="AE29" i="10"/>
  <c r="AD29" i="10"/>
  <c r="AB29" i="10"/>
  <c r="AE28" i="10"/>
  <c r="AE26" i="10"/>
  <c r="AB22" i="10"/>
  <c r="AE15" i="10"/>
  <c r="AD12" i="10"/>
  <c r="AE11" i="10"/>
  <c r="AE4" i="10"/>
  <c r="AC7" i="11"/>
  <c r="AC6" i="11"/>
  <c r="AC5" i="11"/>
  <c r="AC3" i="11"/>
  <c r="AF15" i="10"/>
  <c r="AB27" i="8"/>
  <c r="AA27" i="8"/>
  <c r="Z27" i="8"/>
  <c r="AC26" i="8"/>
  <c r="AI26" i="8" s="1"/>
  <c r="AC25" i="8"/>
  <c r="AI25" i="8" s="1"/>
  <c r="AC24" i="8"/>
  <c r="AI24" i="8" s="1"/>
  <c r="AC23" i="8"/>
  <c r="AI23" i="8" s="1"/>
  <c r="AC22" i="8"/>
  <c r="AI22" i="8" s="1"/>
  <c r="AB22" i="8"/>
  <c r="AC21" i="8"/>
  <c r="AI21" i="8" s="1"/>
  <c r="AA20" i="8"/>
  <c r="Z20" i="8"/>
  <c r="AC19" i="8"/>
  <c r="AI19" i="8" s="1"/>
  <c r="AB18" i="8"/>
  <c r="AA18" i="8"/>
  <c r="AC17" i="8"/>
  <c r="AI17" i="8" s="1"/>
  <c r="Z17" i="8"/>
  <c r="Z18" i="8" s="1"/>
  <c r="AA15" i="8"/>
  <c r="Z15" i="8"/>
  <c r="AC14" i="8"/>
  <c r="AI14" i="8" s="1"/>
  <c r="AB14" i="8"/>
  <c r="AA13" i="8"/>
  <c r="Z13" i="8"/>
  <c r="AC12" i="8"/>
  <c r="AI12" i="8" s="1"/>
  <c r="AB12" i="8"/>
  <c r="AC11" i="8"/>
  <c r="AI11" i="8" s="1"/>
  <c r="AA10" i="8"/>
  <c r="Z10" i="8"/>
  <c r="AC9" i="8"/>
  <c r="AI9" i="8" s="1"/>
  <c r="AB9" i="8"/>
  <c r="AB8" i="8"/>
  <c r="AA8" i="8"/>
  <c r="Z8" i="8"/>
  <c r="AC7" i="8"/>
  <c r="AI7" i="8" s="1"/>
  <c r="AB6" i="8"/>
  <c r="AA6" i="8"/>
  <c r="Z6" i="8"/>
  <c r="AC5" i="8"/>
  <c r="AI5" i="8" s="1"/>
  <c r="AB4" i="8"/>
  <c r="AA4" i="8"/>
  <c r="Z4" i="8"/>
  <c r="AC3" i="8"/>
  <c r="AI3" i="8" s="1"/>
  <c r="AC2" i="8"/>
  <c r="AI2" i="8" s="1"/>
  <c r="AB13" i="8" l="1"/>
  <c r="AB15" i="8"/>
  <c r="AC28" i="8"/>
  <c r="AI28" i="8" s="1"/>
  <c r="AB19" i="8"/>
  <c r="AC8" i="8"/>
  <c r="AI8" i="8" s="1"/>
  <c r="AC4" i="8"/>
  <c r="AI4" i="8" s="1"/>
  <c r="AC13" i="8"/>
  <c r="AI13" i="8" s="1"/>
  <c r="AC18" i="8"/>
  <c r="AI18" i="8" s="1"/>
  <c r="AC6" i="8"/>
  <c r="AI6" i="8" s="1"/>
  <c r="AC27" i="8"/>
  <c r="AI27" i="8" s="1"/>
  <c r="AC10" i="8"/>
  <c r="AI10" i="8" s="1"/>
  <c r="AC15" i="8"/>
  <c r="AI15" i="8" s="1"/>
  <c r="AC20" i="8"/>
  <c r="AI20" i="8" s="1"/>
  <c r="AB10" i="8"/>
  <c r="AB20" i="8" l="1"/>
  <c r="AF28" i="10"/>
  <c r="AA29" i="10"/>
  <c r="W29" i="10"/>
  <c r="X29" i="10"/>
  <c r="Y29" i="10"/>
  <c r="Z29" i="10"/>
  <c r="T29" i="10"/>
  <c r="U29" i="10"/>
  <c r="V29" i="10"/>
  <c r="Q29" i="10"/>
  <c r="R29" i="10"/>
  <c r="S29" i="10"/>
  <c r="N29" i="10"/>
  <c r="O29" i="10"/>
  <c r="P29" i="10"/>
  <c r="H29" i="10"/>
  <c r="I29" i="10"/>
  <c r="J29" i="10"/>
  <c r="K29" i="10"/>
  <c r="L29" i="10"/>
  <c r="G29" i="10"/>
  <c r="E29" i="10"/>
  <c r="F29" i="10"/>
  <c r="D29" i="10"/>
  <c r="C29" i="10"/>
  <c r="B29" i="10"/>
  <c r="W12" i="10"/>
  <c r="W4" i="10"/>
  <c r="Z12" i="10" l="1"/>
  <c r="Y12" i="10"/>
  <c r="X4" i="10"/>
  <c r="V12" i="10"/>
  <c r="V4" i="10"/>
  <c r="O12" i="10"/>
  <c r="S12" i="10"/>
  <c r="U4" i="10"/>
  <c r="T4" i="10"/>
  <c r="S4" i="10"/>
  <c r="R4" i="10"/>
  <c r="Q4" i="10"/>
  <c r="P4" i="10"/>
  <c r="AC8" i="14" l="1"/>
  <c r="AI8" i="14" s="1"/>
  <c r="AA13" i="10"/>
  <c r="I27" i="9" l="1"/>
  <c r="I20" i="9"/>
  <c r="I17" i="9"/>
  <c r="I15" i="9"/>
  <c r="I13" i="9"/>
  <c r="I10" i="9"/>
  <c r="I8" i="9"/>
  <c r="I6" i="9"/>
  <c r="I4" i="9"/>
  <c r="Y27" i="11"/>
  <c r="U20" i="11"/>
  <c r="U19" i="11"/>
  <c r="U18" i="11"/>
  <c r="Y11" i="11"/>
  <c r="Y10" i="11"/>
  <c r="Y7" i="11"/>
  <c r="Y6" i="11"/>
  <c r="U14" i="11"/>
  <c r="U9" i="11"/>
  <c r="U7" i="11"/>
  <c r="U4" i="11"/>
  <c r="Y3" i="11"/>
  <c r="U3" i="11"/>
  <c r="I18" i="9" l="1"/>
  <c r="AA8" i="14"/>
  <c r="Z6" i="14"/>
  <c r="Z8" i="14" l="1"/>
  <c r="AA22" i="10"/>
  <c r="AA12" i="10"/>
  <c r="Y8" i="14" l="1"/>
  <c r="Y27" i="8"/>
  <c r="Y20" i="8"/>
  <c r="Y18" i="8"/>
  <c r="Y15" i="8"/>
  <c r="Y13" i="8"/>
  <c r="Y10" i="8"/>
  <c r="Y8" i="8"/>
  <c r="Y6" i="8"/>
  <c r="Y4" i="8"/>
  <c r="X8" i="14" l="1"/>
  <c r="Z7" i="10"/>
  <c r="H27" i="9"/>
  <c r="H20" i="9"/>
  <c r="H17" i="9"/>
  <c r="H18" i="9" s="1"/>
  <c r="H15" i="9"/>
  <c r="H13" i="9"/>
  <c r="H10" i="9"/>
  <c r="H8" i="9"/>
  <c r="H6" i="9"/>
  <c r="H4" i="9"/>
  <c r="X27" i="8"/>
  <c r="X20" i="8"/>
  <c r="X18" i="8"/>
  <c r="X15" i="8"/>
  <c r="X13" i="8"/>
  <c r="X10" i="8"/>
  <c r="X8" i="8"/>
  <c r="X6" i="8"/>
  <c r="X4" i="8"/>
  <c r="T17" i="8"/>
  <c r="W4" i="8" l="1"/>
  <c r="C5" i="13" l="1"/>
  <c r="W8" i="14"/>
  <c r="W27" i="8"/>
  <c r="W20" i="8"/>
  <c r="W18" i="8"/>
  <c r="W15" i="8"/>
  <c r="W13" i="8"/>
  <c r="W10" i="8"/>
  <c r="W8" i="8"/>
  <c r="W6" i="8"/>
  <c r="AB8" i="14" l="1"/>
  <c r="V8" i="14" l="1"/>
  <c r="X22" i="10"/>
  <c r="V27" i="8"/>
  <c r="V20" i="8"/>
  <c r="V17" i="8"/>
  <c r="V15" i="8"/>
  <c r="V13" i="8"/>
  <c r="V10" i="8"/>
  <c r="V8" i="8"/>
  <c r="V6" i="8"/>
  <c r="V4" i="8"/>
  <c r="U27" i="11"/>
  <c r="U12" i="11"/>
  <c r="U11" i="11"/>
  <c r="U10" i="11"/>
  <c r="U8" i="11"/>
  <c r="U6" i="11"/>
  <c r="U5" i="11"/>
  <c r="U22" i="8"/>
  <c r="U21" i="8"/>
  <c r="U17" i="8"/>
  <c r="V18" i="8" l="1"/>
  <c r="U8" i="14"/>
  <c r="U27" i="8"/>
  <c r="U20" i="8"/>
  <c r="U18" i="8"/>
  <c r="U15" i="8"/>
  <c r="U13" i="8"/>
  <c r="U10" i="8"/>
  <c r="U8" i="8"/>
  <c r="U6" i="8"/>
  <c r="U4" i="8" l="1"/>
  <c r="T5" i="14" l="1"/>
  <c r="T3" i="14"/>
  <c r="T29" i="11"/>
  <c r="V22" i="10"/>
  <c r="G27" i="9"/>
  <c r="G20" i="9"/>
  <c r="G18" i="9"/>
  <c r="G15" i="9"/>
  <c r="G13" i="9"/>
  <c r="G10" i="9"/>
  <c r="G8" i="9"/>
  <c r="G6" i="9"/>
  <c r="G4" i="9"/>
  <c r="T27" i="8"/>
  <c r="T22" i="8"/>
  <c r="T20" i="8"/>
  <c r="T18" i="8"/>
  <c r="T15" i="8"/>
  <c r="T13" i="8"/>
  <c r="T10" i="8"/>
  <c r="T8" i="8"/>
  <c r="T6" i="8"/>
  <c r="T4" i="8"/>
  <c r="T8" i="14" l="1"/>
  <c r="N8" i="14"/>
  <c r="O8" i="14"/>
  <c r="P8" i="14"/>
  <c r="Q8" i="14"/>
  <c r="R8" i="14"/>
  <c r="S8" i="14"/>
  <c r="S27" i="8" l="1"/>
  <c r="S20" i="8"/>
  <c r="S18" i="8"/>
  <c r="S15" i="8"/>
  <c r="S13" i="8"/>
  <c r="S10" i="8"/>
  <c r="S8" i="8"/>
  <c r="S6" i="8"/>
  <c r="S4" i="8"/>
  <c r="R27" i="8" l="1"/>
  <c r="R20" i="8"/>
  <c r="R18" i="8"/>
  <c r="R15" i="8"/>
  <c r="R13" i="8"/>
  <c r="R10" i="8"/>
  <c r="R8" i="8"/>
  <c r="R6" i="8"/>
  <c r="R4" i="8"/>
  <c r="S22" i="10" l="1"/>
  <c r="Q27" i="8" l="1"/>
  <c r="Q20" i="8"/>
  <c r="Q18" i="8"/>
  <c r="Q15" i="8"/>
  <c r="Q13" i="8"/>
  <c r="Q10" i="8"/>
  <c r="Q8" i="8"/>
  <c r="Q6" i="8"/>
  <c r="Q4" i="8"/>
  <c r="P27" i="8" l="1"/>
  <c r="P20" i="8"/>
  <c r="P18" i="8"/>
  <c r="P15" i="8"/>
  <c r="P13" i="8"/>
  <c r="P10" i="8"/>
  <c r="P8" i="8"/>
  <c r="P3" i="8"/>
  <c r="P5" i="8" l="1"/>
  <c r="P4" i="8"/>
  <c r="P6" i="8" l="1"/>
  <c r="Q22" i="10"/>
  <c r="Q12" i="10"/>
  <c r="O27" i="8"/>
  <c r="O20" i="8"/>
  <c r="O18" i="8"/>
  <c r="O15" i="8"/>
  <c r="O13" i="8"/>
  <c r="O10" i="8"/>
  <c r="O8" i="8"/>
  <c r="O6" i="8"/>
  <c r="O4" i="8"/>
  <c r="P12" i="10" l="1"/>
  <c r="N27" i="11" l="1"/>
  <c r="N27" i="8"/>
  <c r="N20" i="8"/>
  <c r="N17" i="8"/>
  <c r="N15" i="8"/>
  <c r="N13" i="8"/>
  <c r="N10" i="8"/>
  <c r="N8" i="8"/>
  <c r="N6" i="8"/>
  <c r="N4" i="8"/>
  <c r="N18" i="8" l="1"/>
  <c r="O24" i="10"/>
  <c r="F27" i="9"/>
  <c r="F20" i="9"/>
  <c r="F17" i="9"/>
  <c r="F15" i="9"/>
  <c r="F13" i="9"/>
  <c r="F10" i="9"/>
  <c r="F8" i="9"/>
  <c r="F5" i="9"/>
  <c r="F4" i="9"/>
  <c r="M27" i="8"/>
  <c r="M15" i="8"/>
  <c r="M13" i="8"/>
  <c r="M18" i="8"/>
  <c r="F18" i="9" l="1"/>
  <c r="F6" i="9"/>
  <c r="M6" i="8"/>
  <c r="M4" i="8"/>
  <c r="M8" i="8"/>
  <c r="M20" i="8"/>
  <c r="M10" i="8"/>
  <c r="M8" i="14" l="1"/>
  <c r="L26" i="8" l="1"/>
  <c r="L28" i="8" s="1"/>
  <c r="L23" i="8"/>
  <c r="L24" i="8"/>
  <c r="L22" i="8"/>
  <c r="L19" i="8"/>
  <c r="L16" i="8"/>
  <c r="L14" i="8"/>
  <c r="L12" i="8"/>
  <c r="L11" i="8"/>
  <c r="L9" i="8"/>
  <c r="L7" i="8"/>
  <c r="L2" i="8" l="1"/>
  <c r="L25" i="8" l="1"/>
  <c r="L20" i="8"/>
  <c r="L15" i="8"/>
  <c r="L13" i="8"/>
  <c r="L10" i="8"/>
  <c r="L6" i="8"/>
  <c r="L8" i="8" l="1"/>
  <c r="L4" i="8"/>
  <c r="L18" i="8"/>
  <c r="L27" i="8"/>
  <c r="L14" i="11" l="1"/>
  <c r="L7" i="11" l="1"/>
  <c r="L29" i="11" l="1"/>
  <c r="L27" i="11"/>
  <c r="L23" i="11"/>
  <c r="L22" i="11"/>
  <c r="L20" i="11"/>
  <c r="L19" i="11"/>
  <c r="L18" i="11"/>
  <c r="L17" i="11"/>
  <c r="L16" i="11"/>
  <c r="L12" i="11"/>
  <c r="L11" i="11"/>
  <c r="L10" i="11"/>
  <c r="L9" i="11"/>
  <c r="L8" i="11"/>
  <c r="L6" i="11"/>
  <c r="L5" i="11"/>
  <c r="L4" i="11"/>
  <c r="L3" i="11"/>
  <c r="K8" i="14" l="1"/>
  <c r="M26" i="10"/>
  <c r="M22" i="10"/>
  <c r="M17" i="10"/>
  <c r="M29" i="10" s="1"/>
  <c r="K27" i="8"/>
  <c r="K20" i="8"/>
  <c r="K18" i="8"/>
  <c r="K15" i="8"/>
  <c r="K13" i="8"/>
  <c r="K10" i="8"/>
  <c r="K8" i="8"/>
  <c r="K6" i="8"/>
  <c r="K4" i="8"/>
  <c r="L8" i="14" l="1"/>
  <c r="J8" i="14"/>
  <c r="F6" i="14"/>
  <c r="G8" i="14"/>
  <c r="L21" i="10"/>
  <c r="I28" i="10"/>
  <c r="I15" i="10"/>
  <c r="G27" i="8"/>
  <c r="J27" i="8"/>
  <c r="G20" i="8"/>
  <c r="J20" i="8"/>
  <c r="G18" i="8"/>
  <c r="J18" i="8"/>
  <c r="G15" i="8"/>
  <c r="J15" i="8"/>
  <c r="G10" i="8"/>
  <c r="J10" i="8"/>
  <c r="G8" i="8"/>
  <c r="J8" i="8"/>
  <c r="G6" i="8"/>
  <c r="J6" i="8"/>
  <c r="G13" i="8"/>
  <c r="J13" i="8"/>
  <c r="G4" i="8"/>
  <c r="J4" i="8"/>
  <c r="F27" i="8"/>
  <c r="I27" i="8"/>
  <c r="F20" i="8"/>
  <c r="I20" i="8"/>
  <c r="F18" i="8"/>
  <c r="I18" i="8"/>
  <c r="F15" i="8"/>
  <c r="I15" i="8"/>
  <c r="F13" i="8"/>
  <c r="I13" i="8"/>
  <c r="F10" i="8"/>
  <c r="F8" i="8"/>
  <c r="I8" i="8"/>
  <c r="F6" i="8"/>
  <c r="I6" i="8"/>
  <c r="F4" i="8"/>
  <c r="I4" i="8"/>
  <c r="I10" i="8"/>
  <c r="I7" i="14"/>
  <c r="I6" i="14"/>
  <c r="I5" i="14"/>
  <c r="I4" i="14"/>
  <c r="I3" i="14"/>
  <c r="E4" i="9"/>
  <c r="E27" i="9"/>
  <c r="E20" i="9"/>
  <c r="E18" i="9"/>
  <c r="E15" i="9"/>
  <c r="E13" i="9"/>
  <c r="E10" i="9"/>
  <c r="E8" i="9"/>
  <c r="E6" i="9"/>
  <c r="H10" i="8"/>
  <c r="H3" i="14"/>
  <c r="H5" i="14"/>
  <c r="H7" i="14"/>
  <c r="B8" i="14"/>
  <c r="C8" i="14"/>
  <c r="D8" i="14"/>
  <c r="J28" i="10"/>
  <c r="J15" i="10"/>
  <c r="H27" i="8"/>
  <c r="D27" i="8"/>
  <c r="H20" i="8"/>
  <c r="D20" i="8"/>
  <c r="H18" i="8"/>
  <c r="D18" i="8"/>
  <c r="H15" i="8"/>
  <c r="D15" i="8"/>
  <c r="H13" i="8"/>
  <c r="D13" i="8"/>
  <c r="D10" i="8"/>
  <c r="H8" i="8"/>
  <c r="D8" i="8"/>
  <c r="H6" i="8"/>
  <c r="D6" i="8"/>
  <c r="H4" i="8"/>
  <c r="D4" i="8"/>
  <c r="C3" i="13"/>
  <c r="C4" i="13"/>
  <c r="C6" i="13"/>
  <c r="C7" i="13"/>
  <c r="C2" i="13"/>
  <c r="E8" i="14"/>
  <c r="D27" i="9"/>
  <c r="C27" i="9"/>
  <c r="B27" i="9"/>
  <c r="D20" i="9"/>
  <c r="C20" i="9"/>
  <c r="B20" i="9"/>
  <c r="D18" i="9"/>
  <c r="C18" i="9"/>
  <c r="B18" i="9"/>
  <c r="D15" i="9"/>
  <c r="C15" i="9"/>
  <c r="B15" i="9"/>
  <c r="D13" i="9"/>
  <c r="C13" i="9"/>
  <c r="B13" i="9"/>
  <c r="D10" i="9"/>
  <c r="C10" i="9"/>
  <c r="B10" i="9"/>
  <c r="D8" i="9"/>
  <c r="C8" i="9"/>
  <c r="B8" i="9"/>
  <c r="D6" i="9"/>
  <c r="C6" i="9"/>
  <c r="B6" i="9"/>
  <c r="D4" i="9"/>
  <c r="C4" i="9"/>
  <c r="B4" i="9"/>
  <c r="B27" i="8"/>
  <c r="E27" i="8"/>
  <c r="C27" i="8"/>
  <c r="B20" i="8"/>
  <c r="E20" i="8"/>
  <c r="C20" i="8"/>
  <c r="B18" i="8"/>
  <c r="E18" i="8"/>
  <c r="C18" i="8"/>
  <c r="B15" i="8"/>
  <c r="E15" i="8"/>
  <c r="C15" i="8"/>
  <c r="B13" i="8"/>
  <c r="E13" i="8"/>
  <c r="C13" i="8"/>
  <c r="B10" i="8"/>
  <c r="E10" i="8"/>
  <c r="C10" i="8"/>
  <c r="B8" i="8"/>
  <c r="E8" i="8"/>
  <c r="C8" i="8"/>
  <c r="B6" i="8"/>
  <c r="E6" i="8"/>
  <c r="C6" i="8"/>
  <c r="B4" i="8"/>
  <c r="E4" i="8"/>
  <c r="C4" i="8"/>
  <c r="F8" i="14" l="1"/>
  <c r="H8" i="14"/>
  <c r="I8" i="14"/>
</calcChain>
</file>

<file path=xl/sharedStrings.xml><?xml version="1.0" encoding="utf-8"?>
<sst xmlns="http://schemas.openxmlformats.org/spreadsheetml/2006/main" count="381" uniqueCount="210">
  <si>
    <t>Ryszard Wtorkowski</t>
  </si>
  <si>
    <t>Iwona Wtorkowska</t>
  </si>
  <si>
    <t>Pozostali akcjonariusze</t>
  </si>
  <si>
    <t>Fundusze zarządzane przez OPERA TFI</t>
  </si>
  <si>
    <t>Liczba pracowników</t>
  </si>
  <si>
    <t>wyższe</t>
  </si>
  <si>
    <t>średnie</t>
  </si>
  <si>
    <t>zawodowe</t>
  </si>
  <si>
    <t>podstawowe</t>
  </si>
  <si>
    <t>kobiety</t>
  </si>
  <si>
    <t>mężczyźni</t>
  </si>
  <si>
    <t>Przychody ze sprzedaży</t>
  </si>
  <si>
    <t>Koszty sprzedanych produktów, towarów i materiałów</t>
  </si>
  <si>
    <t>Pozostałe przychody operacyjne</t>
  </si>
  <si>
    <t>Koszty sprzedaży</t>
  </si>
  <si>
    <t>Koszty ogólnego zarządu</t>
  </si>
  <si>
    <t>Przychody finansowe</t>
  </si>
  <si>
    <t>Podatek dochodowy</t>
  </si>
  <si>
    <t>31.03.2016.</t>
  </si>
  <si>
    <t>30.06.2016.</t>
  </si>
  <si>
    <t>30.09.2016.</t>
  </si>
  <si>
    <t>31.12.2016.</t>
  </si>
  <si>
    <t>31.03.2017.</t>
  </si>
  <si>
    <t>Aktywa trwałe</t>
  </si>
  <si>
    <t>Aktywa z tytułu odroczonego podatku dochodowego</t>
  </si>
  <si>
    <t>Należności długoterminowe</t>
  </si>
  <si>
    <t>Aktywa obrotowe</t>
  </si>
  <si>
    <t>Zapasy</t>
  </si>
  <si>
    <t>Środki pieniężne i ich ekwiwalenty</t>
  </si>
  <si>
    <t>Aktywa razem</t>
  </si>
  <si>
    <t>Kapitał własny</t>
  </si>
  <si>
    <t>Zobowiązania długoterminowe</t>
  </si>
  <si>
    <t>Zobowiązania krótkoterminowe</t>
  </si>
  <si>
    <t>Pasywa razem</t>
  </si>
  <si>
    <t>Wartość księgowa na akcję (zł)</t>
  </si>
  <si>
    <t>Bilans</t>
  </si>
  <si>
    <t>Działalność operacyjna</t>
  </si>
  <si>
    <t>Korekty razem</t>
  </si>
  <si>
    <t>Amortyzacja</t>
  </si>
  <si>
    <t>Zyski z tytułu różnic kursowych</t>
  </si>
  <si>
    <t>Zmiana stanu rezerw</t>
  </si>
  <si>
    <t>Zmiana stanu zapasów</t>
  </si>
  <si>
    <t>Zmiana stanu należności</t>
  </si>
  <si>
    <t>Zmiana stanu zobowiązań krótkoterminowych, z wyjątkiem pożyczek i kredytów</t>
  </si>
  <si>
    <t>Zmiana stanu rozliczeń międzyokresowych</t>
  </si>
  <si>
    <t>Przepływy pieniężne netto z działalności operacyjnej</t>
  </si>
  <si>
    <t>Działalność inwestycyjna</t>
  </si>
  <si>
    <t>Wpływy</t>
  </si>
  <si>
    <t>Wydatki</t>
  </si>
  <si>
    <t>Nabycie wartości niematerialnych i prawnych oraz rzeczowych aktywów trwałych</t>
  </si>
  <si>
    <t>Przepływy pieniężne netto z działalności inwestycyjnej</t>
  </si>
  <si>
    <t>Działalność finansowa</t>
  </si>
  <si>
    <t>Przepływy pieniężne netto z działalności finansowej</t>
  </si>
  <si>
    <t>Przepływy pieniężne netto razem</t>
  </si>
  <si>
    <t>Środki pieniężne na początku okresu</t>
  </si>
  <si>
    <t>Środki pieniężne na koniec okresu</t>
  </si>
  <si>
    <t>Zbycie wartości niematerialnych i prawnych oraz rzeczowych aktywów trwałych</t>
  </si>
  <si>
    <t>Inwestycje</t>
  </si>
  <si>
    <t>Sprzęt IT, oprogramowanie</t>
  </si>
  <si>
    <t>Samochody i wózki</t>
  </si>
  <si>
    <t>Maszyny i urządzenia specjalistyczne</t>
  </si>
  <si>
    <t>Wartość prac rozwojowych</t>
  </si>
  <si>
    <t>Zmiana y/y</t>
  </si>
  <si>
    <t>Zmiana q/q</t>
  </si>
  <si>
    <t>Inwestycje razem</t>
  </si>
  <si>
    <t>Koszty sprzedaży jako % przychodów</t>
  </si>
  <si>
    <t>Koszty ogólnego zarządu jako % przychodów</t>
  </si>
  <si>
    <t>EBITDA</t>
  </si>
  <si>
    <t>Pasywa</t>
  </si>
  <si>
    <t>Aktywa</t>
  </si>
  <si>
    <t>Pozostałe długoterminowe zobowiązania finansowe</t>
  </si>
  <si>
    <t>Pozostałe krótkoterminowe zobowiązania finansowe</t>
  </si>
  <si>
    <t>2015Q2</t>
  </si>
  <si>
    <t>2015Q3</t>
  </si>
  <si>
    <t>2015Q4</t>
  </si>
  <si>
    <t>Wyposażenie</t>
  </si>
  <si>
    <t>2016Q1</t>
  </si>
  <si>
    <t>2016Q2</t>
  </si>
  <si>
    <t>2016Q3</t>
  </si>
  <si>
    <t>2016Q4</t>
  </si>
  <si>
    <t>2017Q1</t>
  </si>
  <si>
    <t>przychody kraj</t>
  </si>
  <si>
    <t>% przychodów z kraju</t>
  </si>
  <si>
    <t>przychody zagranica</t>
  </si>
  <si>
    <t>% przychodów z zagranicy</t>
  </si>
  <si>
    <t>Spłaty kredytów i pożyczek</t>
  </si>
  <si>
    <t>Płatność zobowiązań z tytułu umów leasingu finansowego</t>
  </si>
  <si>
    <t>Odsetki</t>
  </si>
  <si>
    <t>Koszty sprzedanych produktów, towarów i materiałów jako % przychodów</t>
  </si>
  <si>
    <t>[mln zł, %, pp]</t>
  </si>
  <si>
    <t>31.12.2014.</t>
  </si>
  <si>
    <t>31.12.2015.</t>
  </si>
  <si>
    <t>[mln zł, %]</t>
  </si>
  <si>
    <t>Środki pieniężne</t>
  </si>
  <si>
    <t>2014Q1</t>
  </si>
  <si>
    <t>2014Q2</t>
  </si>
  <si>
    <t>2014Q3</t>
  </si>
  <si>
    <t>2014Q4</t>
  </si>
  <si>
    <t>2015Q1</t>
  </si>
  <si>
    <t>Struktura zatrudnienia wg wykształcenia</t>
  </si>
  <si>
    <t>Struktura zatrudnienia wg płci</t>
  </si>
  <si>
    <t>[liczba osób, %]</t>
  </si>
  <si>
    <t>Liczba pracowników w grupie kapitałowej</t>
  </si>
  <si>
    <t>Razem</t>
  </si>
  <si>
    <t>Liczba akcji i głosów</t>
  </si>
  <si>
    <t>Udział % w kapitale i w głosach</t>
  </si>
  <si>
    <t>Spis treści</t>
  </si>
  <si>
    <t>Dane na temat zatrudnienia</t>
  </si>
  <si>
    <t>Akcjonariat</t>
  </si>
  <si>
    <t>dane kwartalne</t>
  </si>
  <si>
    <t>dane roczne</t>
  </si>
  <si>
    <t>Rachunek wyników:</t>
  </si>
  <si>
    <t>Rachunek przepływów pieniężnych:</t>
  </si>
  <si>
    <t>Podstawowe informacje</t>
  </si>
  <si>
    <t>Nazwa:</t>
  </si>
  <si>
    <t>LUG S.A.</t>
  </si>
  <si>
    <t>Rynek notowań:</t>
  </si>
  <si>
    <t>Branża:</t>
  </si>
  <si>
    <t>Ticker:</t>
  </si>
  <si>
    <t>NewConnect</t>
  </si>
  <si>
    <t>LUG</t>
  </si>
  <si>
    <t>ISIN:</t>
  </si>
  <si>
    <t>PLLUG0000010</t>
  </si>
  <si>
    <t>Instalacje budowlane i telekomunikacyjne</t>
  </si>
  <si>
    <t>2017Q2</t>
  </si>
  <si>
    <t>2017Q3</t>
  </si>
  <si>
    <t>30.09.2017</t>
  </si>
  <si>
    <t>30.06.2017</t>
  </si>
  <si>
    <t>31.12.2017.</t>
  </si>
  <si>
    <t>2017Q4</t>
  </si>
  <si>
    <t>2018Q1</t>
  </si>
  <si>
    <t>31.03.2018</t>
  </si>
  <si>
    <t>2018Q2</t>
  </si>
  <si>
    <t>30.06.2018</t>
  </si>
  <si>
    <t>2018Q3</t>
  </si>
  <si>
    <t>30.09.2018</t>
  </si>
  <si>
    <t>2018Q4</t>
  </si>
  <si>
    <t>31.12.2018</t>
  </si>
  <si>
    <t>2019Q1</t>
  </si>
  <si>
    <t>31.03.2019</t>
  </si>
  <si>
    <t>2019Q2</t>
  </si>
  <si>
    <t>30.06.2019</t>
  </si>
  <si>
    <t>2019Q3</t>
  </si>
  <si>
    <t>30.09.2019</t>
  </si>
  <si>
    <t>2019Q4</t>
  </si>
  <si>
    <t>31.12.2019</t>
  </si>
  <si>
    <t>2020Q1</t>
  </si>
  <si>
    <t>31.03.2020</t>
  </si>
  <si>
    <t>Zysk/ strata brutto na sprzedaży</t>
  </si>
  <si>
    <t>Zysk/ strata na działalności operacyjnej</t>
  </si>
  <si>
    <t>Zysk/ strata przed opodatkowaniem</t>
  </si>
  <si>
    <t>Zysk/ strata netto z działalności kontynuowanej</t>
  </si>
  <si>
    <t>Zysk/ strata netto należny akcjonariuszom jednostki dominującej</t>
  </si>
  <si>
    <t>Zysk/ strata netto na jedną akcję (zł)</t>
  </si>
  <si>
    <t>Rentowność operacyjna</t>
  </si>
  <si>
    <t>Rentowność EBITDA</t>
  </si>
  <si>
    <t>Rentowność  netto</t>
  </si>
  <si>
    <t>Rentowność brutto na sprzedaży</t>
  </si>
  <si>
    <t>Rentowność netto</t>
  </si>
  <si>
    <t>2020Q2</t>
  </si>
  <si>
    <t>30.06.2020</t>
  </si>
  <si>
    <t>2020Q3</t>
  </si>
  <si>
    <t>30.09.2020</t>
  </si>
  <si>
    <t>2020Q4</t>
  </si>
  <si>
    <t>31.12.2020</t>
  </si>
  <si>
    <t>2021Q1</t>
  </si>
  <si>
    <t>31.03.2021</t>
  </si>
  <si>
    <t>2021Q2</t>
  </si>
  <si>
    <t>30.06.2021</t>
  </si>
  <si>
    <t>Budynki</t>
  </si>
  <si>
    <t>2021Q3</t>
  </si>
  <si>
    <t>30.09.2021</t>
  </si>
  <si>
    <t>MKK3 Sp. z o.o.</t>
  </si>
  <si>
    <t>2021Q4</t>
  </si>
  <si>
    <t>2022Q1</t>
  </si>
  <si>
    <t>31.03.2022</t>
  </si>
  <si>
    <t>2022Q2</t>
  </si>
  <si>
    <t>31.12.2021</t>
  </si>
  <si>
    <t>30.06.2022</t>
  </si>
  <si>
    <t>2022Q3</t>
  </si>
  <si>
    <t>30.09.2022</t>
  </si>
  <si>
    <t>2022Q4</t>
  </si>
  <si>
    <t>31.12.2022</t>
  </si>
  <si>
    <t>2023Q1</t>
  </si>
  <si>
    <t>31.03.2023</t>
  </si>
  <si>
    <t>Koszty finansowe oraz udział z w zyskach (stratach) netto jednostek wycenianych metoda praw własności</t>
  </si>
  <si>
    <t>Rzeczowe aktywa trwałe oraz aktywa z tyt. prawa do użytkowania</t>
  </si>
  <si>
    <t>Aktywa niematerialne</t>
  </si>
  <si>
    <t>Należności z tytułu dostwa i usług oraz aktywa z tytuły umów z klientami</t>
  </si>
  <si>
    <t>Pozostałe należności i aktywa niefinansowe</t>
  </si>
  <si>
    <t>Rozliczenia międzyokresowe oraz pochodne instrumnety finansowe i pozostałe aktywa finansowe</t>
  </si>
  <si>
    <t>Kapitał akcjonariuszy niekontrolujących</t>
  </si>
  <si>
    <t>Długoterminowe rozliczenia międzyokresowe przychodów, rezerwy i pozostałe zobowiązania</t>
  </si>
  <si>
    <t>Oprocentowane kredyty i pożyczki</t>
  </si>
  <si>
    <t>Zobowiązania z tytułu dostaw i usług oraz zobowiązania z tytułu umów z klientami</t>
  </si>
  <si>
    <t>Krótkoterminowe rozliczenia międzyokresowe przychodów, rezerwy i pozostałe zobowiązania</t>
  </si>
  <si>
    <t>Pozostałe koszty operacyjne oraz straty z tytułu utraty wartości należności</t>
  </si>
  <si>
    <t>Przychody z tyt. odsetek i dywidend oraz koszty z tyt.odsetek</t>
  </si>
  <si>
    <t>Pozostałe korekty</t>
  </si>
  <si>
    <t>zmiana stanu środków pieniężnych z tytułu różnic kursowych</t>
  </si>
  <si>
    <t>2023Q2</t>
  </si>
  <si>
    <t>30.06.2023</t>
  </si>
  <si>
    <t>Pozostałe aktywa trwałe (głównie finansowe)</t>
  </si>
  <si>
    <t>2023Q3</t>
  </si>
  <si>
    <t>30.09.2023</t>
  </si>
  <si>
    <t>2023Q4</t>
  </si>
  <si>
    <t>31.12.2023</t>
  </si>
  <si>
    <t>20223Q4</t>
  </si>
  <si>
    <t>2023Q1-Q4</t>
  </si>
  <si>
    <t>Stan na dzień: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</si>
</sst>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.0000\ _z_ł_-;\-* #,##0.0000\ _z_ł_-;_-* &quot;-&quot;??\ _z_ł_-;_-@_-"/>
  </numFmts>
  <fonts count="24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charset val="238"/>
      <scheme val="minor"/>
    </font>
    <font>
      <i/>
      <sz val="12"/>
      <name val="Arial"/>
      <family val="2"/>
      <scheme val="minor"/>
    </font>
    <font>
      <sz val="12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b/>
      <sz val="12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1"/>
      <name val="Arial"/>
      <family val="2"/>
      <charset val="238"/>
      <scheme val="minor"/>
    </font>
    <font>
      <i/>
      <sz val="12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8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2" fontId="0" fillId="0" borderId="0" xfId="0" applyNumberFormat="1"/>
    <xf numFmtId="165" fontId="8" fillId="0" borderId="0" xfId="27" applyNumberFormat="1" applyFont="1"/>
    <xf numFmtId="165" fontId="0" fillId="0" borderId="0" xfId="27" applyNumberFormat="1" applyFont="1"/>
    <xf numFmtId="2" fontId="7" fillId="0" borderId="0" xfId="0" applyNumberFormat="1" applyFont="1"/>
    <xf numFmtId="165" fontId="7" fillId="0" borderId="0" xfId="27" applyNumberFormat="1" applyFont="1"/>
    <xf numFmtId="2" fontId="9" fillId="0" borderId="0" xfId="0" applyNumberFormat="1" applyFont="1"/>
    <xf numFmtId="2" fontId="7" fillId="2" borderId="0" xfId="0" applyNumberFormat="1" applyFont="1" applyFill="1"/>
    <xf numFmtId="2" fontId="0" fillId="2" borderId="0" xfId="0" applyNumberFormat="1" applyFill="1"/>
    <xf numFmtId="2" fontId="6" fillId="3" borderId="0" xfId="0" applyNumberFormat="1" applyFont="1" applyFill="1"/>
    <xf numFmtId="165" fontId="6" fillId="3" borderId="0" xfId="27" applyNumberFormat="1" applyFont="1" applyFill="1"/>
    <xf numFmtId="165" fontId="2" fillId="0" borderId="0" xfId="27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0" fontId="9" fillId="0" borderId="0" xfId="0" applyFont="1"/>
    <xf numFmtId="0" fontId="4" fillId="0" borderId="0" xfId="211"/>
    <xf numFmtId="0" fontId="0" fillId="0" borderId="0" xfId="0" applyAlignment="1">
      <alignment horizontal="right"/>
    </xf>
    <xf numFmtId="9" fontId="13" fillId="0" borderId="0" xfId="27" applyFont="1" applyAlignment="1">
      <alignment horizontal="left" vertical="center"/>
    </xf>
    <xf numFmtId="9" fontId="12" fillId="0" borderId="0" xfId="27" applyFont="1"/>
    <xf numFmtId="9" fontId="13" fillId="0" borderId="0" xfId="27" applyFont="1" applyAlignment="1">
      <alignment horizontal="left"/>
    </xf>
    <xf numFmtId="165" fontId="8" fillId="0" borderId="0" xfId="27" applyNumberFormat="1" applyFont="1" applyFill="1"/>
    <xf numFmtId="1" fontId="7" fillId="0" borderId="0" xfId="0" applyNumberFormat="1" applyFont="1"/>
    <xf numFmtId="2" fontId="14" fillId="0" borderId="0" xfId="0" applyNumberFormat="1" applyFont="1"/>
    <xf numFmtId="2" fontId="15" fillId="2" borderId="0" xfId="0" applyNumberFormat="1" applyFont="1" applyFill="1"/>
    <xf numFmtId="2" fontId="15" fillId="0" borderId="0" xfId="0" applyNumberFormat="1" applyFont="1"/>
    <xf numFmtId="2" fontId="0" fillId="0" borderId="0" xfId="0" quotePrefix="1" applyNumberFormat="1"/>
    <xf numFmtId="164" fontId="0" fillId="0" borderId="0" xfId="384" applyFont="1" applyFill="1"/>
    <xf numFmtId="0" fontId="0" fillId="0" borderId="0" xfId="27" applyNumberFormat="1" applyFont="1"/>
    <xf numFmtId="2" fontId="14" fillId="3" borderId="0" xfId="0" applyNumberFormat="1" applyFont="1" applyFill="1"/>
    <xf numFmtId="2" fontId="14" fillId="2" borderId="0" xfId="0" applyNumberFormat="1" applyFont="1" applyFill="1"/>
    <xf numFmtId="165" fontId="16" fillId="0" borderId="0" xfId="27" applyNumberFormat="1" applyFont="1" applyFill="1"/>
    <xf numFmtId="165" fontId="14" fillId="0" borderId="0" xfId="27" applyNumberFormat="1" applyFont="1" applyFill="1"/>
    <xf numFmtId="165" fontId="15" fillId="0" borderId="0" xfId="27" applyNumberFormat="1" applyFont="1" applyFill="1"/>
    <xf numFmtId="165" fontId="14" fillId="0" borderId="0" xfId="27" applyNumberFormat="1" applyFont="1"/>
    <xf numFmtId="2" fontId="0" fillId="0" borderId="0" xfId="27" applyNumberFormat="1" applyFont="1"/>
    <xf numFmtId="0" fontId="11" fillId="2" borderId="0" xfId="0" applyFont="1" applyFill="1"/>
    <xf numFmtId="165" fontId="15" fillId="0" borderId="0" xfId="27" applyNumberFormat="1" applyFont="1"/>
    <xf numFmtId="165" fontId="17" fillId="0" borderId="0" xfId="27" applyNumberFormat="1" applyFont="1"/>
    <xf numFmtId="165" fontId="17" fillId="0" borderId="0" xfId="27" applyNumberFormat="1" applyFont="1" applyFill="1"/>
    <xf numFmtId="165" fontId="17" fillId="0" borderId="0" xfId="27" applyNumberFormat="1" applyFont="1" applyBorder="1"/>
    <xf numFmtId="165" fontId="17" fillId="0" borderId="0" xfId="27" applyNumberFormat="1" applyFont="1" applyFill="1" applyBorder="1"/>
    <xf numFmtId="2" fontId="15" fillId="0" borderId="1" xfId="0" applyNumberFormat="1" applyFont="1" applyBorder="1"/>
    <xf numFmtId="165" fontId="15" fillId="0" borderId="1" xfId="27" applyNumberFormat="1" applyFont="1" applyBorder="1"/>
    <xf numFmtId="49" fontId="14" fillId="0" borderId="0" xfId="0" applyNumberFormat="1" applyFont="1"/>
    <xf numFmtId="49" fontId="14" fillId="2" borderId="0" xfId="0" applyNumberFormat="1" applyFont="1" applyFill="1"/>
    <xf numFmtId="2" fontId="0" fillId="0" borderId="0" xfId="0" applyNumberFormat="1" applyAlignment="1">
      <alignment wrapText="1"/>
    </xf>
    <xf numFmtId="2" fontId="15" fillId="0" borderId="0" xfId="0" applyNumberFormat="1" applyFont="1" applyAlignment="1">
      <alignment wrapText="1"/>
    </xf>
    <xf numFmtId="4" fontId="1" fillId="2" borderId="0" xfId="386" applyNumberFormat="1" applyFont="1" applyFill="1"/>
    <xf numFmtId="2" fontId="19" fillId="2" borderId="0" xfId="0" applyNumberFormat="1" applyFont="1" applyFill="1"/>
    <xf numFmtId="164" fontId="0" fillId="0" borderId="0" xfId="384" applyFont="1"/>
    <xf numFmtId="2" fontId="19" fillId="0" borderId="0" xfId="0" applyNumberFormat="1" applyFont="1"/>
    <xf numFmtId="2" fontId="18" fillId="0" borderId="0" xfId="0" applyNumberFormat="1" applyFont="1"/>
    <xf numFmtId="165" fontId="8" fillId="0" borderId="0" xfId="27" applyNumberFormat="1" applyFont="1" applyFill="1" applyBorder="1"/>
    <xf numFmtId="1" fontId="7" fillId="0" borderId="0" xfId="0" applyNumberFormat="1" applyFont="1" applyAlignment="1">
      <alignment horizontal="right"/>
    </xf>
    <xf numFmtId="4" fontId="1" fillId="0" borderId="0" xfId="386" applyNumberFormat="1" applyFont="1" applyFill="1"/>
    <xf numFmtId="4" fontId="7" fillId="0" borderId="0" xfId="386" applyNumberFormat="1" applyFont="1" applyFill="1"/>
    <xf numFmtId="49" fontId="20" fillId="0" borderId="0" xfId="0" applyNumberFormat="1" applyFont="1"/>
    <xf numFmtId="2" fontId="20" fillId="3" borderId="0" xfId="0" applyNumberFormat="1" applyFont="1" applyFill="1"/>
    <xf numFmtId="2" fontId="20" fillId="0" borderId="0" xfId="0" applyNumberFormat="1" applyFont="1"/>
    <xf numFmtId="2" fontId="21" fillId="0" borderId="0" xfId="0" applyNumberFormat="1" applyFont="1"/>
    <xf numFmtId="166" fontId="0" fillId="0" borderId="0" xfId="0" applyNumberFormat="1"/>
    <xf numFmtId="2" fontId="18" fillId="2" borderId="0" xfId="0" applyNumberFormat="1" applyFont="1" applyFill="1"/>
    <xf numFmtId="10" fontId="0" fillId="0" borderId="0" xfId="0" applyNumberFormat="1"/>
    <xf numFmtId="10" fontId="7" fillId="0" borderId="0" xfId="0" applyNumberFormat="1" applyFont="1"/>
    <xf numFmtId="9" fontId="12" fillId="0" borderId="0" xfId="386" applyFont="1" applyFill="1"/>
    <xf numFmtId="4" fontId="15" fillId="0" borderId="0" xfId="0" applyNumberFormat="1" applyFont="1"/>
    <xf numFmtId="2" fontId="14" fillId="0" borderId="0" xfId="0" applyNumberFormat="1" applyFont="1" applyAlignment="1">
      <alignment wrapText="1"/>
    </xf>
    <xf numFmtId="165" fontId="17" fillId="0" borderId="0" xfId="27" applyNumberFormat="1" applyFont="1" applyAlignment="1">
      <alignment wrapText="1"/>
    </xf>
    <xf numFmtId="165" fontId="8" fillId="0" borderId="0" xfId="27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2" fontId="22" fillId="2" borderId="0" xfId="0" applyNumberFormat="1" applyFont="1" applyFill="1"/>
    <xf numFmtId="165" fontId="19" fillId="0" borderId="0" xfId="27" applyNumberFormat="1" applyFont="1"/>
    <xf numFmtId="2" fontId="22" fillId="0" borderId="0" xfId="0" applyNumberFormat="1" applyFont="1"/>
    <xf numFmtId="2" fontId="15" fillId="0" borderId="0" xfId="0" applyNumberFormat="1" applyFont="1" applyAlignment="1">
      <alignment horizontal="left" wrapText="1"/>
    </xf>
    <xf numFmtId="165" fontId="15" fillId="0" borderId="0" xfId="27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2" fontId="14" fillId="0" borderId="3" xfId="0" applyNumberFormat="1" applyFont="1" applyBorder="1"/>
    <xf numFmtId="165" fontId="14" fillId="0" borderId="3" xfId="27" applyNumberFormat="1" applyFont="1" applyBorder="1"/>
    <xf numFmtId="165" fontId="15" fillId="0" borderId="3" xfId="27" applyNumberFormat="1" applyFont="1" applyBorder="1"/>
    <xf numFmtId="165" fontId="15" fillId="0" borderId="2" xfId="27" applyNumberFormat="1" applyFont="1" applyBorder="1"/>
    <xf numFmtId="1" fontId="7" fillId="2" borderId="0" xfId="0" applyNumberFormat="1" applyFont="1" applyFill="1" applyAlignment="1">
      <alignment horizontal="right"/>
    </xf>
    <xf numFmtId="1" fontId="7" fillId="2" borderId="0" xfId="0" applyNumberFormat="1" applyFont="1" applyFill="1"/>
    <xf numFmtId="165" fontId="17" fillId="2" borderId="0" xfId="27" applyNumberFormat="1" applyFont="1" applyFill="1"/>
    <xf numFmtId="165" fontId="23" fillId="2" borderId="0" xfId="27" applyNumberFormat="1" applyFont="1" applyFill="1"/>
    <xf numFmtId="165" fontId="8" fillId="2" borderId="0" xfId="27" applyNumberFormat="1" applyFont="1" applyFill="1"/>
    <xf numFmtId="165" fontId="8" fillId="2" borderId="0" xfId="27" applyNumberFormat="1" applyFont="1" applyFill="1" applyBorder="1"/>
    <xf numFmtId="2" fontId="15" fillId="2" borderId="1" xfId="0" applyNumberFormat="1" applyFont="1" applyFill="1" applyBorder="1"/>
    <xf numFmtId="165" fontId="16" fillId="2" borderId="0" xfId="27" applyNumberFormat="1" applyFont="1" applyFill="1"/>
    <xf numFmtId="9" fontId="12" fillId="2" borderId="0" xfId="386" applyFont="1" applyFill="1"/>
  </cellXfs>
  <cellStyles count="387">
    <cellStyle name="Dziesiętny" xfId="384" builtinId="3"/>
    <cellStyle name="Hiperłącze" xfId="1" builtinId="8" hidden="1"/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Hiperłącze" xfId="19" builtinId="8" hidden="1"/>
    <cellStyle name="Hiperłącze" xfId="21" builtinId="8" hidden="1"/>
    <cellStyle name="Hiperłącze" xfId="23" builtinId="8" hidden="1"/>
    <cellStyle name="Hiperłącze" xfId="25" builtinId="8" hidden="1"/>
    <cellStyle name="Hiperłącze" xfId="28" builtinId="8" hidden="1"/>
    <cellStyle name="Hiperłącze" xfId="30" builtinId="8" hidden="1"/>
    <cellStyle name="Hiperłącze" xfId="32" builtinId="8" hidden="1"/>
    <cellStyle name="Hiperłącze" xfId="34" builtinId="8" hidden="1"/>
    <cellStyle name="Hiperłącze" xfId="36" builtinId="8" hidden="1"/>
    <cellStyle name="Hiperłącze" xfId="38" builtinId="8" hidden="1"/>
    <cellStyle name="Hiperłącze" xfId="40" builtinId="8" hidden="1"/>
    <cellStyle name="Hiperłącze" xfId="42" builtinId="8" hidden="1"/>
    <cellStyle name="Hiperłącze" xfId="44" builtinId="8" hidden="1"/>
    <cellStyle name="Hiperłącze" xfId="46" builtinId="8" hidden="1"/>
    <cellStyle name="Hiperłącze" xfId="48" builtinId="8" hidden="1"/>
    <cellStyle name="Hiperłącze" xfId="50" builtinId="8" hidden="1"/>
    <cellStyle name="Hiperłącze" xfId="52" builtinId="8" hidden="1"/>
    <cellStyle name="Hiperłącze" xfId="54" builtinId="8" hidden="1"/>
    <cellStyle name="Hiperłącze" xfId="56" builtinId="8" hidden="1"/>
    <cellStyle name="Hiperłącze" xfId="58" builtinId="8" hidden="1"/>
    <cellStyle name="Hiperłącze" xfId="60" builtinId="8" hidden="1"/>
    <cellStyle name="Hiperłącze" xfId="62" builtinId="8" hidden="1"/>
    <cellStyle name="Hiperłącze" xfId="64" builtinId="8" hidden="1"/>
    <cellStyle name="Hiperłącze" xfId="66" builtinId="8" hidden="1"/>
    <cellStyle name="Hiperłącze" xfId="68" builtinId="8" hidden="1"/>
    <cellStyle name="Hiperłącze" xfId="70" builtinId="8" hidden="1"/>
    <cellStyle name="Hiperłącze" xfId="72" builtinId="8" hidden="1"/>
    <cellStyle name="Hiperłącze" xfId="74" builtinId="8" hidden="1"/>
    <cellStyle name="Hiperłącze" xfId="76" builtinId="8" hidden="1"/>
    <cellStyle name="Hiperłącze" xfId="78" builtinId="8" hidden="1"/>
    <cellStyle name="Hiperłącze" xfId="80" builtinId="8" hidden="1"/>
    <cellStyle name="Hiperłącze" xfId="82" builtinId="8" hidden="1"/>
    <cellStyle name="Hiperłącze" xfId="84" builtinId="8" hidden="1"/>
    <cellStyle name="Hiperłącze" xfId="86" builtinId="8" hidden="1"/>
    <cellStyle name="Hiperłącze" xfId="88" builtinId="8" hidden="1"/>
    <cellStyle name="Hiperłącze" xfId="90" builtinId="8" hidden="1"/>
    <cellStyle name="Hiperłącze" xfId="92" builtinId="8" hidden="1"/>
    <cellStyle name="Hiperłącze" xfId="94" builtinId="8" hidden="1"/>
    <cellStyle name="Hiperłącze" xfId="96" builtinId="8" hidden="1"/>
    <cellStyle name="Hiperłącze" xfId="98" builtinId="8" hidden="1"/>
    <cellStyle name="Hiperłącze" xfId="100" builtinId="8" hidden="1"/>
    <cellStyle name="Hiperłącze" xfId="102" builtinId="8" hidden="1"/>
    <cellStyle name="Hiperłącze" xfId="104" builtinId="8" hidden="1"/>
    <cellStyle name="Hiperłącze" xfId="106" builtinId="8" hidden="1"/>
    <cellStyle name="Hiperłącze" xfId="108" builtinId="8" hidden="1"/>
    <cellStyle name="Hiperłącze" xfId="110" builtinId="8" hidden="1"/>
    <cellStyle name="Hiperłącze" xfId="112" builtinId="8" hidden="1"/>
    <cellStyle name="Hiperłącze" xfId="114" builtinId="8" hidden="1"/>
    <cellStyle name="Hiperłącze" xfId="116" builtinId="8" hidden="1"/>
    <cellStyle name="Hiperłącze" xfId="118" builtinId="8" hidden="1"/>
    <cellStyle name="Hiperłącze" xfId="120" builtinId="8" hidden="1"/>
    <cellStyle name="Hiperłącze" xfId="122" builtinId="8" hidden="1"/>
    <cellStyle name="Hiperłącze" xfId="124" builtinId="8" hidden="1"/>
    <cellStyle name="Hiperłącze" xfId="126" builtinId="8" hidden="1"/>
    <cellStyle name="Hiperłącze" xfId="128" builtinId="8" hidden="1"/>
    <cellStyle name="Hiperłącze" xfId="130" builtinId="8" hidden="1"/>
    <cellStyle name="Hiperłącze" xfId="132" builtinId="8" hidden="1"/>
    <cellStyle name="Hiperłącze" xfId="134" builtinId="8" hidden="1"/>
    <cellStyle name="Hiperłącze" xfId="136" builtinId="8" hidden="1"/>
    <cellStyle name="Hiperłącze" xfId="138" builtinId="8" hidden="1"/>
    <cellStyle name="Hiperłącze" xfId="140" builtinId="8" hidden="1"/>
    <cellStyle name="Hiperłącze" xfId="142" builtinId="8" hidden="1"/>
    <cellStyle name="Hiperłącze" xfId="144" builtinId="8" hidden="1"/>
    <cellStyle name="Hiperłącze" xfId="146" builtinId="8" hidden="1"/>
    <cellStyle name="Hiperłącze" xfId="149" builtinId="8" hidden="1"/>
    <cellStyle name="Hiperłącze" xfId="151" builtinId="8" hidden="1"/>
    <cellStyle name="Hiperłącze" xfId="153" builtinId="8" hidden="1"/>
    <cellStyle name="Hiperłącze" xfId="155" builtinId="8" hidden="1"/>
    <cellStyle name="Hiperłącze" xfId="157" builtinId="8" hidden="1"/>
    <cellStyle name="Hiperłącze" xfId="159" builtinId="8" hidden="1"/>
    <cellStyle name="Hiperłącze" xfId="161" builtinId="8" hidden="1"/>
    <cellStyle name="Hiperłącze" xfId="163" builtinId="8" hidden="1"/>
    <cellStyle name="Hiperłącze" xfId="165" builtinId="8" hidden="1"/>
    <cellStyle name="Hiperłącze" xfId="167" builtinId="8" hidden="1"/>
    <cellStyle name="Hiperłącze" xfId="169" builtinId="8" hidden="1"/>
    <cellStyle name="Hiperłącze" xfId="171" builtinId="8" hidden="1"/>
    <cellStyle name="Hiperłącze" xfId="173" builtinId="8" hidden="1"/>
    <cellStyle name="Hiperłącze" xfId="175" builtinId="8" hidden="1"/>
    <cellStyle name="Hiperłącze" xfId="177" builtinId="8" hidden="1"/>
    <cellStyle name="Hiperłącze" xfId="179" builtinId="8" hidden="1"/>
    <cellStyle name="Hiperłącze" xfId="181" builtinId="8" hidden="1"/>
    <cellStyle name="Hiperłącze" xfId="183" builtinId="8" hidden="1"/>
    <cellStyle name="Hiperłącze" xfId="185" builtinId="8" hidden="1"/>
    <cellStyle name="Hiperłącze" xfId="187" builtinId="8" hidden="1"/>
    <cellStyle name="Hiperłącze" xfId="189" builtinId="8" hidden="1"/>
    <cellStyle name="Hiperłącze" xfId="191" builtinId="8" hidden="1"/>
    <cellStyle name="Hiperłącze" xfId="193" builtinId="8" hidden="1"/>
    <cellStyle name="Hiperłącze" xfId="195" builtinId="8" hidden="1"/>
    <cellStyle name="Hiperłącze" xfId="197" builtinId="8" hidden="1"/>
    <cellStyle name="Hiperłącze" xfId="199" builtinId="8" hidden="1"/>
    <cellStyle name="Hiperłącze" xfId="201" builtinId="8" hidden="1"/>
    <cellStyle name="Hiperłącze" xfId="203" builtinId="8" hidden="1"/>
    <cellStyle name="Hiperłącze" xfId="205" builtinId="8" hidden="1"/>
    <cellStyle name="Hiperłącze" xfId="207" builtinId="8" hidden="1"/>
    <cellStyle name="Hiperłącze" xfId="209" builtinId="8" hidden="1"/>
    <cellStyle name="Hiperłącze" xfId="211" builtinId="8"/>
    <cellStyle name="Normalny" xfId="0" builtinId="0"/>
    <cellStyle name="Normalny 2" xfId="383" xr:uid="{00000000-0005-0000-0000-00006A000000}"/>
    <cellStyle name="Odwiedzone hiperłącze" xfId="2" builtinId="9" hidden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  <cellStyle name="Odwiedzone hiperłącze" xfId="20" builtinId="9" hidden="1"/>
    <cellStyle name="Odwiedzone hiperłącze" xfId="22" builtinId="9" hidden="1"/>
    <cellStyle name="Odwiedzone hiperłącze" xfId="24" builtinId="9" hidden="1"/>
    <cellStyle name="Odwiedzone hiperłącze" xfId="26" builtinId="9" hidden="1"/>
    <cellStyle name="Odwiedzone hiperłącze" xfId="29" builtinId="9" hidden="1"/>
    <cellStyle name="Odwiedzone hiperłącze" xfId="31" builtinId="9" hidden="1"/>
    <cellStyle name="Odwiedzone hiperłącze" xfId="33" builtinId="9" hidden="1"/>
    <cellStyle name="Odwiedzone hiperłącze" xfId="35" builtinId="9" hidden="1"/>
    <cellStyle name="Odwiedzone hiperłącze" xfId="37" builtinId="9" hidden="1"/>
    <cellStyle name="Odwiedzone hiperłącze" xfId="39" builtinId="9" hidden="1"/>
    <cellStyle name="Odwiedzone hiperłącze" xfId="41" builtinId="9" hidden="1"/>
    <cellStyle name="Odwiedzone hiperłącze" xfId="43" builtinId="9" hidden="1"/>
    <cellStyle name="Odwiedzone hiperłącze" xfId="45" builtinId="9" hidden="1"/>
    <cellStyle name="Odwiedzone hiperłącze" xfId="47" builtinId="9" hidden="1"/>
    <cellStyle name="Odwiedzone hiperłącze" xfId="49" builtinId="9" hidden="1"/>
    <cellStyle name="Odwiedzone hiperłącze" xfId="51" builtinId="9" hidden="1"/>
    <cellStyle name="Odwiedzone hiperłącze" xfId="53" builtinId="9" hidden="1"/>
    <cellStyle name="Odwiedzone hiperłącze" xfId="55" builtinId="9" hidden="1"/>
    <cellStyle name="Odwiedzone hiperłącze" xfId="57" builtinId="9" hidden="1"/>
    <cellStyle name="Odwiedzone hiperłącze" xfId="59" builtinId="9" hidden="1"/>
    <cellStyle name="Odwiedzone hiperłącze" xfId="61" builtinId="9" hidden="1"/>
    <cellStyle name="Odwiedzone hiperłącze" xfId="63" builtinId="9" hidden="1"/>
    <cellStyle name="Odwiedzone hiperłącze" xfId="65" builtinId="9" hidden="1"/>
    <cellStyle name="Odwiedzone hiperłącze" xfId="67" builtinId="9" hidden="1"/>
    <cellStyle name="Odwiedzone hiperłącze" xfId="69" builtinId="9" hidden="1"/>
    <cellStyle name="Odwiedzone hiperłącze" xfId="71" builtinId="9" hidden="1"/>
    <cellStyle name="Odwiedzone hiperłącze" xfId="73" builtinId="9" hidden="1"/>
    <cellStyle name="Odwiedzone hiperłącze" xfId="75" builtinId="9" hidden="1"/>
    <cellStyle name="Odwiedzone hiperłącze" xfId="77" builtinId="9" hidden="1"/>
    <cellStyle name="Odwiedzone hiperłącze" xfId="79" builtinId="9" hidden="1"/>
    <cellStyle name="Odwiedzone hiperłącze" xfId="81" builtinId="9" hidden="1"/>
    <cellStyle name="Odwiedzone hiperłącze" xfId="83" builtinId="9" hidden="1"/>
    <cellStyle name="Odwiedzone hiperłącze" xfId="85" builtinId="9" hidden="1"/>
    <cellStyle name="Odwiedzone hiperłącze" xfId="87" builtinId="9" hidden="1"/>
    <cellStyle name="Odwiedzone hiperłącze" xfId="89" builtinId="9" hidden="1"/>
    <cellStyle name="Odwiedzone hiperłącze" xfId="91" builtinId="9" hidden="1"/>
    <cellStyle name="Odwiedzone hiperłącze" xfId="93" builtinId="9" hidden="1"/>
    <cellStyle name="Odwiedzone hiperłącze" xfId="95" builtinId="9" hidden="1"/>
    <cellStyle name="Odwiedzone hiperłącze" xfId="97" builtinId="9" hidden="1"/>
    <cellStyle name="Odwiedzone hiperłącze" xfId="99" builtinId="9" hidden="1"/>
    <cellStyle name="Odwiedzone hiperłącze" xfId="101" builtinId="9" hidden="1"/>
    <cellStyle name="Odwiedzone hiperłącze" xfId="103" builtinId="9" hidden="1"/>
    <cellStyle name="Odwiedzone hiperłącze" xfId="105" builtinId="9" hidden="1"/>
    <cellStyle name="Odwiedzone hiperłącze" xfId="107" builtinId="9" hidden="1"/>
    <cellStyle name="Odwiedzone hiperłącze" xfId="109" builtinId="9" hidden="1"/>
    <cellStyle name="Odwiedzone hiperłącze" xfId="111" builtinId="9" hidden="1"/>
    <cellStyle name="Odwiedzone hiperłącze" xfId="113" builtinId="9" hidden="1"/>
    <cellStyle name="Odwiedzone hiperłącze" xfId="115" builtinId="9" hidden="1"/>
    <cellStyle name="Odwiedzone hiperłącze" xfId="117" builtinId="9" hidden="1"/>
    <cellStyle name="Odwiedzone hiperłącze" xfId="119" builtinId="9" hidden="1"/>
    <cellStyle name="Odwiedzone hiperłącze" xfId="121" builtinId="9" hidden="1"/>
    <cellStyle name="Odwiedzone hiperłącze" xfId="123" builtinId="9" hidden="1"/>
    <cellStyle name="Odwiedzone hiperłącze" xfId="125" builtinId="9" hidden="1"/>
    <cellStyle name="Odwiedzone hiperłącze" xfId="127" builtinId="9" hidden="1"/>
    <cellStyle name="Odwiedzone hiperłącze" xfId="129" builtinId="9" hidden="1"/>
    <cellStyle name="Odwiedzone hiperłącze" xfId="131" builtinId="9" hidden="1"/>
    <cellStyle name="Odwiedzone hiperłącze" xfId="133" builtinId="9" hidden="1"/>
    <cellStyle name="Odwiedzone hiperłącze" xfId="135" builtinId="9" hidden="1"/>
    <cellStyle name="Odwiedzone hiperłącze" xfId="137" builtinId="9" hidden="1"/>
    <cellStyle name="Odwiedzone hiperłącze" xfId="139" builtinId="9" hidden="1"/>
    <cellStyle name="Odwiedzone hiperłącze" xfId="141" builtinId="9" hidden="1"/>
    <cellStyle name="Odwiedzone hiperłącze" xfId="143" builtinId="9" hidden="1"/>
    <cellStyle name="Odwiedzone hiperłącze" xfId="145" builtinId="9" hidden="1"/>
    <cellStyle name="Odwiedzone hiperłącze" xfId="147" builtinId="9" hidden="1"/>
    <cellStyle name="Odwiedzone hiperłącze" xfId="150" builtinId="9" hidden="1"/>
    <cellStyle name="Odwiedzone hiperłącze" xfId="152" builtinId="9" hidden="1"/>
    <cellStyle name="Odwiedzone hiperłącze" xfId="154" builtinId="9" hidden="1"/>
    <cellStyle name="Odwiedzone hiperłącze" xfId="156" builtinId="9" hidden="1"/>
    <cellStyle name="Odwiedzone hiperłącze" xfId="158" builtinId="9" hidden="1"/>
    <cellStyle name="Odwiedzone hiperłącze" xfId="160" builtinId="9" hidden="1"/>
    <cellStyle name="Odwiedzone hiperłącze" xfId="162" builtinId="9" hidden="1"/>
    <cellStyle name="Odwiedzone hiperłącze" xfId="164" builtinId="9" hidden="1"/>
    <cellStyle name="Odwiedzone hiperłącze" xfId="166" builtinId="9" hidden="1"/>
    <cellStyle name="Odwiedzone hiperłącze" xfId="168" builtinId="9" hidden="1"/>
    <cellStyle name="Odwiedzone hiperłącze" xfId="170" builtinId="9" hidden="1"/>
    <cellStyle name="Odwiedzone hiperłącze" xfId="172" builtinId="9" hidden="1"/>
    <cellStyle name="Odwiedzone hiperłącze" xfId="174" builtinId="9" hidden="1"/>
    <cellStyle name="Odwiedzone hiperłącze" xfId="176" builtinId="9" hidden="1"/>
    <cellStyle name="Odwiedzone hiperłącze" xfId="178" builtinId="9" hidden="1"/>
    <cellStyle name="Odwiedzone hiperłącze" xfId="180" builtinId="9" hidden="1"/>
    <cellStyle name="Odwiedzone hiperłącze" xfId="182" builtinId="9" hidden="1"/>
    <cellStyle name="Odwiedzone hiperłącze" xfId="184" builtinId="9" hidden="1"/>
    <cellStyle name="Odwiedzone hiperłącze" xfId="186" builtinId="9" hidden="1"/>
    <cellStyle name="Odwiedzone hiperłącze" xfId="188" builtinId="9" hidden="1"/>
    <cellStyle name="Odwiedzone hiperłącze" xfId="190" builtinId="9" hidden="1"/>
    <cellStyle name="Odwiedzone hiperłącze" xfId="192" builtinId="9" hidden="1"/>
    <cellStyle name="Odwiedzone hiperłącze" xfId="194" builtinId="9" hidden="1"/>
    <cellStyle name="Odwiedzone hiperłącze" xfId="196" builtinId="9" hidden="1"/>
    <cellStyle name="Odwiedzone hiperłącze" xfId="198" builtinId="9" hidden="1"/>
    <cellStyle name="Odwiedzone hiperłącze" xfId="200" builtinId="9" hidden="1"/>
    <cellStyle name="Odwiedzone hiperłącze" xfId="202" builtinId="9" hidden="1"/>
    <cellStyle name="Odwiedzone hiperłącze" xfId="204" builtinId="9" hidden="1"/>
    <cellStyle name="Odwiedzone hiperłącze" xfId="206" builtinId="9" hidden="1"/>
    <cellStyle name="Odwiedzone hiperłącze" xfId="208" builtinId="9" hidden="1"/>
    <cellStyle name="Odwiedzone hiperłącze" xfId="210" builtinId="9" hidden="1"/>
    <cellStyle name="Odwiedzone hiperłącze" xfId="212" builtinId="9" hidden="1"/>
    <cellStyle name="Odwiedzone hiperłącze" xfId="213" builtinId="9" hidden="1"/>
    <cellStyle name="Odwiedzone hiperłącze" xfId="214" builtinId="9" hidden="1"/>
    <cellStyle name="Odwiedzone hiperłącze" xfId="215" builtinId="9" hidden="1"/>
    <cellStyle name="Odwiedzone hiperłącze" xfId="216" builtinId="9" hidden="1"/>
    <cellStyle name="Odwiedzone hiperłącze" xfId="217" builtinId="9" hidden="1"/>
    <cellStyle name="Odwiedzone hiperłącze" xfId="218" builtinId="9" hidden="1"/>
    <cellStyle name="Odwiedzone hiperłącze" xfId="219" builtinId="9" hidden="1"/>
    <cellStyle name="Odwiedzone hiperłącze" xfId="220" builtinId="9" hidden="1"/>
    <cellStyle name="Odwiedzone hiperłącze" xfId="221" builtinId="9" hidden="1"/>
    <cellStyle name="Odwiedzone hiperłącze" xfId="222" builtinId="9" hidden="1"/>
    <cellStyle name="Odwiedzone hiperłącze" xfId="223" builtinId="9" hidden="1"/>
    <cellStyle name="Odwiedzone hiperłącze" xfId="224" builtinId="9" hidden="1"/>
    <cellStyle name="Odwiedzone hiperłącze" xfId="225" builtinId="9" hidden="1"/>
    <cellStyle name="Odwiedzone hiperłącze" xfId="226" builtinId="9" hidden="1"/>
    <cellStyle name="Odwiedzone hiperłącze" xfId="227" builtinId="9" hidden="1"/>
    <cellStyle name="Odwiedzone hiperłącze" xfId="228" builtinId="9" hidden="1"/>
    <cellStyle name="Odwiedzone hiperłącze" xfId="229" builtinId="9" hidden="1"/>
    <cellStyle name="Odwiedzone hiperłącze" xfId="230" builtinId="9" hidden="1"/>
    <cellStyle name="Odwiedzone hiperłącze" xfId="231" builtinId="9" hidden="1"/>
    <cellStyle name="Odwiedzone hiperłącze" xfId="232" builtinId="9" hidden="1"/>
    <cellStyle name="Odwiedzone hiperłącze" xfId="233" builtinId="9" hidden="1"/>
    <cellStyle name="Odwiedzone hiperłącze" xfId="234" builtinId="9" hidden="1"/>
    <cellStyle name="Odwiedzone hiperłącze" xfId="235" builtinId="9" hidden="1"/>
    <cellStyle name="Odwiedzone hiperłącze" xfId="236" builtinId="9" hidden="1"/>
    <cellStyle name="Odwiedzone hiperłącze" xfId="237" builtinId="9" hidden="1"/>
    <cellStyle name="Odwiedzone hiperłącze" xfId="238" builtinId="9" hidden="1"/>
    <cellStyle name="Odwiedzone hiperłącze" xfId="239" builtinId="9" hidden="1"/>
    <cellStyle name="Odwiedzone hiperłącze" xfId="240" builtinId="9" hidden="1"/>
    <cellStyle name="Odwiedzone hiperłącze" xfId="241" builtinId="9" hidden="1"/>
    <cellStyle name="Odwiedzone hiperłącze" xfId="242" builtinId="9" hidden="1"/>
    <cellStyle name="Odwiedzone hiperłącze" xfId="243" builtinId="9" hidden="1"/>
    <cellStyle name="Odwiedzone hiperłącze" xfId="244" builtinId="9" hidden="1"/>
    <cellStyle name="Odwiedzone hiperłącze" xfId="245" builtinId="9" hidden="1"/>
    <cellStyle name="Odwiedzone hiperłącze" xfId="246" builtinId="9" hidden="1"/>
    <cellStyle name="Odwiedzone hiperłącze" xfId="247" builtinId="9" hidden="1"/>
    <cellStyle name="Odwiedzone hiperłącze" xfId="248" builtinId="9" hidden="1"/>
    <cellStyle name="Odwiedzone hiperłącze" xfId="249" builtinId="9" hidden="1"/>
    <cellStyle name="Odwiedzone hiperłącze" xfId="250" builtinId="9" hidden="1"/>
    <cellStyle name="Odwiedzone hiperłącze" xfId="251" builtinId="9" hidden="1"/>
    <cellStyle name="Odwiedzone hiperłącze" xfId="252" builtinId="9" hidden="1"/>
    <cellStyle name="Odwiedzone hiperłącze" xfId="253" builtinId="9" hidden="1"/>
    <cellStyle name="Odwiedzone hiperłącze" xfId="254" builtinId="9" hidden="1"/>
    <cellStyle name="Odwiedzone hiperłącze" xfId="255" builtinId="9" hidden="1"/>
    <cellStyle name="Odwiedzone hiperłącze" xfId="256" builtinId="9" hidden="1"/>
    <cellStyle name="Odwiedzone hiperłącze" xfId="257" builtinId="9" hidden="1"/>
    <cellStyle name="Odwiedzone hiperłącze" xfId="258" builtinId="9" hidden="1"/>
    <cellStyle name="Odwiedzone hiperłącze" xfId="259" builtinId="9" hidden="1"/>
    <cellStyle name="Odwiedzone hiperłącze" xfId="260" builtinId="9" hidden="1"/>
    <cellStyle name="Odwiedzone hiperłącze" xfId="261" builtinId="9" hidden="1"/>
    <cellStyle name="Odwiedzone hiperłącze" xfId="262" builtinId="9" hidden="1"/>
    <cellStyle name="Odwiedzone hiperłącze" xfId="263" builtinId="9" hidden="1"/>
    <cellStyle name="Odwiedzone hiperłącze" xfId="264" builtinId="9" hidden="1"/>
    <cellStyle name="Odwiedzone hiperłącze" xfId="265" builtinId="9" hidden="1"/>
    <cellStyle name="Odwiedzone hiperłącze" xfId="266" builtinId="9" hidden="1"/>
    <cellStyle name="Odwiedzone hiperłącze" xfId="267" builtinId="9" hidden="1"/>
    <cellStyle name="Odwiedzone hiperłącze" xfId="268" builtinId="9" hidden="1"/>
    <cellStyle name="Odwiedzone hiperłącze" xfId="269" builtinId="9" hidden="1"/>
    <cellStyle name="Odwiedzone hiperłącze" xfId="270" builtinId="9" hidden="1"/>
    <cellStyle name="Odwiedzone hiperłącze" xfId="271" builtinId="9" hidden="1"/>
    <cellStyle name="Odwiedzone hiperłącze" xfId="272" builtinId="9" hidden="1"/>
    <cellStyle name="Odwiedzone hiperłącze" xfId="273" builtinId="9" hidden="1"/>
    <cellStyle name="Odwiedzone hiperłącze" xfId="274" builtinId="9" hidden="1"/>
    <cellStyle name="Odwiedzone hiperłącze" xfId="275" builtinId="9" hidden="1"/>
    <cellStyle name="Odwiedzone hiperłącze" xfId="276" builtinId="9" hidden="1"/>
    <cellStyle name="Odwiedzone hiperłącze" xfId="277" builtinId="9" hidden="1"/>
    <cellStyle name="Odwiedzone hiperłącze" xfId="278" builtinId="9" hidden="1"/>
    <cellStyle name="Odwiedzone hiperłącze" xfId="279" builtinId="9" hidden="1"/>
    <cellStyle name="Odwiedzone hiperłącze" xfId="280" builtinId="9" hidden="1"/>
    <cellStyle name="Odwiedzone hiperłącze" xfId="281" builtinId="9" hidden="1"/>
    <cellStyle name="Odwiedzone hiperłącze" xfId="282" builtinId="9" hidden="1"/>
    <cellStyle name="Odwiedzone hiperłącze" xfId="283" builtinId="9" hidden="1"/>
    <cellStyle name="Odwiedzone hiperłącze" xfId="284" builtinId="9" hidden="1"/>
    <cellStyle name="Odwiedzone hiperłącze" xfId="285" builtinId="9" hidden="1"/>
    <cellStyle name="Odwiedzone hiperłącze" xfId="286" builtinId="9" hidden="1"/>
    <cellStyle name="Odwiedzone hiperłącze" xfId="287" builtinId="9" hidden="1"/>
    <cellStyle name="Odwiedzone hiperłącze" xfId="288" builtinId="9" hidden="1"/>
    <cellStyle name="Odwiedzone hiperłącze" xfId="289" builtinId="9" hidden="1"/>
    <cellStyle name="Odwiedzone hiperłącze" xfId="290" builtinId="9" hidden="1"/>
    <cellStyle name="Odwiedzone hiperłącze" xfId="291" builtinId="9" hidden="1"/>
    <cellStyle name="Odwiedzone hiperłącze" xfId="292" builtinId="9" hidden="1"/>
    <cellStyle name="Odwiedzone hiperłącze" xfId="293" builtinId="9" hidden="1"/>
    <cellStyle name="Odwiedzone hiperłącze" xfId="294" builtinId="9" hidden="1"/>
    <cellStyle name="Odwiedzone hiperłącze" xfId="295" builtinId="9" hidden="1"/>
    <cellStyle name="Odwiedzone hiperłącze" xfId="296" builtinId="9" hidden="1"/>
    <cellStyle name="Odwiedzone hiperłącze" xfId="297" builtinId="9" hidden="1"/>
    <cellStyle name="Odwiedzone hiperłącze" xfId="298" builtinId="9" hidden="1"/>
    <cellStyle name="Odwiedzone hiperłącze" xfId="299" builtinId="9" hidden="1"/>
    <cellStyle name="Odwiedzone hiperłącze" xfId="300" builtinId="9" hidden="1"/>
    <cellStyle name="Odwiedzone hiperłącze" xfId="301" builtinId="9" hidden="1"/>
    <cellStyle name="Odwiedzone hiperłącze" xfId="302" builtinId="9" hidden="1"/>
    <cellStyle name="Odwiedzone hiperłącze" xfId="303" builtinId="9" hidden="1"/>
    <cellStyle name="Odwiedzone hiperłącze" xfId="304" builtinId="9" hidden="1"/>
    <cellStyle name="Odwiedzone hiperłącze" xfId="305" builtinId="9" hidden="1"/>
    <cellStyle name="Odwiedzone hiperłącze" xfId="306" builtinId="9" hidden="1"/>
    <cellStyle name="Odwiedzone hiperłącze" xfId="307" builtinId="9" hidden="1"/>
    <cellStyle name="Odwiedzone hiperłącze" xfId="308" builtinId="9" hidden="1"/>
    <cellStyle name="Odwiedzone hiperłącze" xfId="309" builtinId="9" hidden="1"/>
    <cellStyle name="Odwiedzone hiperłącze" xfId="310" builtinId="9" hidden="1"/>
    <cellStyle name="Odwiedzone hiperłącze" xfId="311" builtinId="9" hidden="1"/>
    <cellStyle name="Odwiedzone hiperłącze" xfId="312" builtinId="9" hidden="1"/>
    <cellStyle name="Odwiedzone hiperłącze" xfId="313" builtinId="9" hidden="1"/>
    <cellStyle name="Odwiedzone hiperłącze" xfId="314" builtinId="9" hidden="1"/>
    <cellStyle name="Odwiedzone hiperłącze" xfId="315" builtinId="9" hidden="1"/>
    <cellStyle name="Odwiedzone hiperłącze" xfId="316" builtinId="9" hidden="1"/>
    <cellStyle name="Odwiedzone hiperłącze" xfId="317" builtinId="9" hidden="1"/>
    <cellStyle name="Odwiedzone hiperłącze" xfId="318" builtinId="9" hidden="1"/>
    <cellStyle name="Odwiedzone hiperłącze" xfId="319" builtinId="9" hidden="1"/>
    <cellStyle name="Odwiedzone hiperłącze" xfId="320" builtinId="9" hidden="1"/>
    <cellStyle name="Odwiedzone hiperłącze" xfId="321" builtinId="9" hidden="1"/>
    <cellStyle name="Odwiedzone hiperłącze" xfId="322" builtinId="9" hidden="1"/>
    <cellStyle name="Odwiedzone hiperłącze" xfId="323" builtinId="9" hidden="1"/>
    <cellStyle name="Odwiedzone hiperłącze" xfId="324" builtinId="9" hidden="1"/>
    <cellStyle name="Odwiedzone hiperłącze" xfId="325" builtinId="9" hidden="1"/>
    <cellStyle name="Odwiedzone hiperłącze" xfId="326" builtinId="9" hidden="1"/>
    <cellStyle name="Odwiedzone hiperłącze" xfId="327" builtinId="9" hidden="1"/>
    <cellStyle name="Odwiedzone hiperłącze" xfId="328" builtinId="9" hidden="1"/>
    <cellStyle name="Odwiedzone hiperłącze" xfId="329" builtinId="9" hidden="1"/>
    <cellStyle name="Odwiedzone hiperłącze" xfId="330" builtinId="9" hidden="1"/>
    <cellStyle name="Odwiedzone hiperłącze" xfId="331" builtinId="9" hidden="1"/>
    <cellStyle name="Odwiedzone hiperłącze" xfId="332" builtinId="9" hidden="1"/>
    <cellStyle name="Odwiedzone hiperłącze" xfId="333" builtinId="9" hidden="1"/>
    <cellStyle name="Odwiedzone hiperłącze" xfId="334" builtinId="9" hidden="1"/>
    <cellStyle name="Odwiedzone hiperłącze" xfId="335" builtinId="9" hidden="1"/>
    <cellStyle name="Odwiedzone hiperłącze" xfId="336" builtinId="9" hidden="1"/>
    <cellStyle name="Odwiedzone hiperłącze" xfId="337" builtinId="9" hidden="1"/>
    <cellStyle name="Odwiedzone hiperłącze" xfId="338" builtinId="9" hidden="1"/>
    <cellStyle name="Odwiedzone hiperłącze" xfId="339" builtinId="9" hidden="1"/>
    <cellStyle name="Odwiedzone hiperłącze" xfId="340" builtinId="9" hidden="1"/>
    <cellStyle name="Odwiedzone hiperłącze" xfId="341" builtinId="9" hidden="1"/>
    <cellStyle name="Odwiedzone hiperłącze" xfId="342" builtinId="9" hidden="1"/>
    <cellStyle name="Odwiedzone hiperłącze" xfId="343" builtinId="9" hidden="1"/>
    <cellStyle name="Odwiedzone hiperłącze" xfId="344" builtinId="9" hidden="1"/>
    <cellStyle name="Odwiedzone hiperłącze" xfId="345" builtinId="9" hidden="1"/>
    <cellStyle name="Odwiedzone hiperłącze" xfId="346" builtinId="9" hidden="1"/>
    <cellStyle name="Odwiedzone hiperłącze" xfId="347" builtinId="9" hidden="1"/>
    <cellStyle name="Odwiedzone hiperłącze" xfId="348" builtinId="9" hidden="1"/>
    <cellStyle name="Odwiedzone hiperłącze" xfId="349" builtinId="9" hidden="1"/>
    <cellStyle name="Odwiedzone hiperłącze" xfId="350" builtinId="9" hidden="1"/>
    <cellStyle name="Odwiedzone hiperłącze" xfId="351" builtinId="9" hidden="1"/>
    <cellStyle name="Odwiedzone hiperłącze" xfId="352" builtinId="9" hidden="1"/>
    <cellStyle name="Odwiedzone hiperłącze" xfId="353" builtinId="9" hidden="1"/>
    <cellStyle name="Odwiedzone hiperłącze" xfId="354" builtinId="9" hidden="1"/>
    <cellStyle name="Odwiedzone hiperłącze" xfId="355" builtinId="9" hidden="1"/>
    <cellStyle name="Odwiedzone hiperłącze" xfId="356" builtinId="9" hidden="1"/>
    <cellStyle name="Odwiedzone hiperłącze" xfId="357" builtinId="9" hidden="1"/>
    <cellStyle name="Odwiedzone hiperłącze" xfId="358" builtinId="9" hidden="1"/>
    <cellStyle name="Odwiedzone hiperłącze" xfId="359" builtinId="9" hidden="1"/>
    <cellStyle name="Odwiedzone hiperłącze" xfId="360" builtinId="9" hidden="1"/>
    <cellStyle name="Odwiedzone hiperłącze" xfId="361" builtinId="9" hidden="1"/>
    <cellStyle name="Odwiedzone hiperłącze" xfId="362" builtinId="9" hidden="1"/>
    <cellStyle name="Odwiedzone hiperłącze" xfId="363" builtinId="9" hidden="1"/>
    <cellStyle name="Odwiedzone hiperłącze" xfId="364" builtinId="9" hidden="1"/>
    <cellStyle name="Odwiedzone hiperłącze" xfId="365" builtinId="9" hidden="1"/>
    <cellStyle name="Odwiedzone hiperłącze" xfId="366" builtinId="9" hidden="1"/>
    <cellStyle name="Odwiedzone hiperłącze" xfId="367" builtinId="9" hidden="1"/>
    <cellStyle name="Odwiedzone hiperłącze" xfId="368" builtinId="9" hidden="1"/>
    <cellStyle name="Odwiedzone hiperłącze" xfId="369" builtinId="9" hidden="1"/>
    <cellStyle name="Odwiedzone hiperłącze" xfId="370" builtinId="9" hidden="1"/>
    <cellStyle name="Odwiedzone hiperłącze" xfId="371" builtinId="9" hidden="1"/>
    <cellStyle name="Odwiedzone hiperłącze" xfId="372" builtinId="9" hidden="1"/>
    <cellStyle name="Odwiedzone hiperłącze" xfId="373" builtinId="9" hidden="1"/>
    <cellStyle name="Odwiedzone hiperłącze" xfId="374" builtinId="9" hidden="1"/>
    <cellStyle name="Odwiedzone hiperłącze" xfId="375" builtinId="9" hidden="1"/>
    <cellStyle name="Odwiedzone hiperłącze" xfId="376" builtinId="9" hidden="1"/>
    <cellStyle name="Odwiedzone hiperłącze" xfId="377" builtinId="9" hidden="1"/>
    <cellStyle name="Odwiedzone hiperłącze" xfId="378" builtinId="9" hidden="1"/>
    <cellStyle name="Odwiedzone hiperłącze" xfId="379" builtinId="9" hidden="1"/>
    <cellStyle name="Odwiedzone hiperłącze" xfId="380" builtinId="9" hidden="1"/>
    <cellStyle name="Odwiedzone hiperłącze" xfId="381" builtinId="9" hidden="1"/>
    <cellStyle name="Odwiedzone hiperłącze" xfId="382" builtinId="9" hidden="1"/>
    <cellStyle name="Procentowy" xfId="27" builtinId="5"/>
    <cellStyle name="Procentowy 2" xfId="148" xr:uid="{00000000-0005-0000-0000-00007F010000}"/>
    <cellStyle name="Procentowy 2 2" xfId="386" xr:uid="{4AD48225-0BC8-46F3-AD73-4FBCD955BF07}"/>
    <cellStyle name="Procentowy 3" xfId="385" xr:uid="{11283CFB-DAC0-4244-8EBD-D1B985EF46E3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1153</xdr:colOff>
      <xdr:row>6</xdr:row>
      <xdr:rowOff>139700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98303" cy="13589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127000</xdr:rowOff>
    </xdr:from>
    <xdr:to>
      <xdr:col>8</xdr:col>
      <xdr:colOff>622300</xdr:colOff>
      <xdr:row>5</xdr:row>
      <xdr:rowOff>27000</xdr:rowOff>
    </xdr:to>
    <xdr:sp macro="" textlink="">
      <xdr:nvSpPr>
        <xdr:cNvPr id="3" name="Pole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81300" y="330200"/>
          <a:ext cx="5854700" cy="712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4000" b="1">
              <a:solidFill>
                <a:schemeClr val="bg1"/>
              </a:solidFill>
            </a:rPr>
            <a:t>Spreadsheet </a:t>
          </a:r>
        </a:p>
      </xdr:txBody>
    </xdr:sp>
    <xdr:clientData/>
  </xdr:twoCellAnchor>
  <xdr:twoCellAnchor>
    <xdr:from>
      <xdr:col>2</xdr:col>
      <xdr:colOff>0</xdr:colOff>
      <xdr:row>5</xdr:row>
      <xdr:rowOff>177800</xdr:rowOff>
    </xdr:from>
    <xdr:to>
      <xdr:col>8</xdr:col>
      <xdr:colOff>622300</xdr:colOff>
      <xdr:row>9</xdr:row>
      <xdr:rowOff>77800</xdr:rowOff>
    </xdr:to>
    <xdr:sp macro="" textlink="">
      <xdr:nvSpPr>
        <xdr:cNvPr id="4" name="Pole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81300" y="1193800"/>
          <a:ext cx="5854700" cy="712800"/>
        </a:xfrm>
        <a:prstGeom prst="rect">
          <a:avLst/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pl-PL" sz="2800">
              <a:solidFill>
                <a:schemeClr val="bg1"/>
              </a:solidFill>
            </a:rPr>
            <a:t>Stan na dzień: 31.12.2023.</a:t>
          </a:r>
        </a:p>
      </xdr:txBody>
    </xdr:sp>
    <xdr:clientData/>
  </xdr:twoCellAnchor>
  <xdr:twoCellAnchor>
    <xdr:from>
      <xdr:col>1</xdr:col>
      <xdr:colOff>25400</xdr:colOff>
      <xdr:row>10</xdr:row>
      <xdr:rowOff>50800</xdr:rowOff>
    </xdr:from>
    <xdr:to>
      <xdr:col>8</xdr:col>
      <xdr:colOff>622300</xdr:colOff>
      <xdr:row>15</xdr:row>
      <xdr:rowOff>154000</xdr:rowOff>
    </xdr:to>
    <xdr:sp macro="" textlink="">
      <xdr:nvSpPr>
        <xdr:cNvPr id="5" name="Pole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5600" y="2082800"/>
          <a:ext cx="8280400" cy="712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pl-PL" sz="1050">
              <a:solidFill>
                <a:schemeClr val="tx2"/>
              </a:solidFill>
            </a:rPr>
            <a:t>Niniejszy</a:t>
          </a:r>
          <a:r>
            <a:rPr lang="pl-PL" sz="1050" baseline="0">
              <a:solidFill>
                <a:schemeClr val="tx2"/>
              </a:solidFill>
            </a:rPr>
            <a:t> dokument ma charakter pomocniczy. Zespół relacji inwestorskich LUG S.A. dokłada staranności, aby zawarte w nim dane były dokładne, jednak nie może zagwarantować ich poprawności. Dane w factsheecie są wprowadzone bezpośrednio z opublikowanych raportów okresowych za dany okres, dlatego mogą występować różnice np. pomiędzy sumą danych za cztery kwartały danego roku oraz danymi pochodzącymi z raportu rocznego za ten rok. Podstawowym i głównym źródełem danych na temat LUG S.A., Grupy Kapitałowej LUG S.A., wyników finansowych i danych operacyjnych są dokumenty informacyjne, prospekty emisyjne, raporty okresowe oraz raporty bieżące podawane przez spółkę do publicznej wiadomości za pośrednictwem systemów ESPI i EBI oraz strony internetowej spółki.</a:t>
          </a:r>
          <a:endParaRPr lang="pl-PL" sz="1050">
            <a:solidFill>
              <a:schemeClr val="tx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LUG">
      <a:dk1>
        <a:srgbClr val="000000"/>
      </a:dk1>
      <a:lt1>
        <a:srgbClr val="FFFFFF"/>
      </a:lt1>
      <a:dk2>
        <a:srgbClr val="676767"/>
      </a:dk2>
      <a:lt2>
        <a:srgbClr val="FFFFFF"/>
      </a:lt2>
      <a:accent1>
        <a:srgbClr val="DA241D"/>
      </a:accent1>
      <a:accent2>
        <a:srgbClr val="676767"/>
      </a:accent2>
      <a:accent3>
        <a:srgbClr val="676767"/>
      </a:accent3>
      <a:accent4>
        <a:srgbClr val="919191"/>
      </a:accent4>
      <a:accent5>
        <a:srgbClr val="BBBBBB"/>
      </a:accent5>
      <a:accent6>
        <a:srgbClr val="E0E0E0"/>
      </a:accent6>
      <a:hlink>
        <a:srgbClr val="000000"/>
      </a:hlink>
      <a:folHlink>
        <a:srgbClr val="676767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E36"/>
  <sheetViews>
    <sheetView showGridLines="0" tabSelected="1" workbookViewId="0">
      <selection activeCell="H19" sqref="H19"/>
    </sheetView>
  </sheetViews>
  <sheetFormatPr defaultColWidth="10.54296875" defaultRowHeight="15" x14ac:dyDescent="0.25"/>
  <cols>
    <col min="1" max="1" width="3.54296875" customWidth="1"/>
    <col min="2" max="2" width="27.54296875" bestFit="1" customWidth="1"/>
    <col min="3" max="3" width="3.54296875" customWidth="1"/>
    <col min="4" max="4" width="12.54296875" bestFit="1" customWidth="1"/>
    <col min="5" max="5" width="10.453125" bestFit="1" customWidth="1"/>
  </cols>
  <sheetData>
    <row r="17" spans="2:5" s="17" customFormat="1" ht="15.6" x14ac:dyDescent="0.3">
      <c r="B17" s="17" t="s">
        <v>106</v>
      </c>
    </row>
    <row r="19" spans="2:5" x14ac:dyDescent="0.25">
      <c r="B19" t="s">
        <v>111</v>
      </c>
      <c r="D19" s="20" t="s">
        <v>109</v>
      </c>
      <c r="E19" s="20" t="s">
        <v>110</v>
      </c>
    </row>
    <row r="20" spans="2:5" x14ac:dyDescent="0.25">
      <c r="B20" s="20" t="s">
        <v>35</v>
      </c>
    </row>
    <row r="21" spans="2:5" x14ac:dyDescent="0.25">
      <c r="B21" t="s">
        <v>112</v>
      </c>
      <c r="D21" s="20" t="s">
        <v>109</v>
      </c>
      <c r="E21" s="20" t="s">
        <v>110</v>
      </c>
    </row>
    <row r="22" spans="2:5" x14ac:dyDescent="0.25">
      <c r="B22" s="20" t="s">
        <v>57</v>
      </c>
    </row>
    <row r="23" spans="2:5" x14ac:dyDescent="0.25">
      <c r="B23" s="20" t="s">
        <v>107</v>
      </c>
    </row>
    <row r="24" spans="2:5" x14ac:dyDescent="0.25">
      <c r="B24" s="20" t="s">
        <v>108</v>
      </c>
    </row>
    <row r="26" spans="2:5" ht="15.6" x14ac:dyDescent="0.3">
      <c r="B26" s="17" t="s">
        <v>113</v>
      </c>
    </row>
    <row r="28" spans="2:5" x14ac:dyDescent="0.25">
      <c r="B28" s="21" t="s">
        <v>114</v>
      </c>
      <c r="D28" t="s">
        <v>115</v>
      </c>
    </row>
    <row r="29" spans="2:5" x14ac:dyDescent="0.25">
      <c r="B29" s="21" t="s">
        <v>116</v>
      </c>
      <c r="D29" t="s">
        <v>119</v>
      </c>
    </row>
    <row r="30" spans="2:5" x14ac:dyDescent="0.25">
      <c r="B30" s="21" t="s">
        <v>117</v>
      </c>
      <c r="D30" t="s">
        <v>123</v>
      </c>
    </row>
    <row r="31" spans="2:5" x14ac:dyDescent="0.25">
      <c r="B31" s="21" t="s">
        <v>118</v>
      </c>
      <c r="D31" t="s">
        <v>120</v>
      </c>
    </row>
    <row r="32" spans="2:5" x14ac:dyDescent="0.25">
      <c r="B32" s="21" t="s">
        <v>121</v>
      </c>
      <c r="D32" t="s">
        <v>122</v>
      </c>
    </row>
    <row r="35" spans="2:2" x14ac:dyDescent="0.25">
      <c r="B35" s="54"/>
    </row>
    <row r="36" spans="2:2" x14ac:dyDescent="0.25">
      <c r="B36" s="65"/>
    </row>
  </sheetData>
  <hyperlinks>
    <hyperlink ref="D19" location="R_wyników_Q!A1" display="dane kwartalne" xr:uid="{00000000-0004-0000-0000-000000000000}"/>
    <hyperlink ref="E19" location="R_wyników_FY!A1" display="dane roczne" xr:uid="{00000000-0004-0000-0000-000001000000}"/>
    <hyperlink ref="B20" location="Bilans!A1" display="Bilans" xr:uid="{00000000-0004-0000-0000-000002000000}"/>
    <hyperlink ref="D21" location="Cashflow_Q!A1" display="dane kwartalne" xr:uid="{00000000-0004-0000-0000-000003000000}"/>
    <hyperlink ref="E21" location="Cashflow_FY!A1" display="dane roczne" xr:uid="{00000000-0004-0000-0000-000004000000}"/>
    <hyperlink ref="B22" location="Inwestycje!A1" display="Inwestycje" xr:uid="{00000000-0004-0000-0000-000005000000}"/>
    <hyperlink ref="B23" location="HR!A1" display="Dane na temat zatrudnienia" xr:uid="{00000000-0004-0000-0000-000006000000}"/>
    <hyperlink ref="B24" location="Akcjonariat!A1" display="Akcjonariat" xr:uid="{00000000-0004-0000-0000-000007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9"/>
  <sheetViews>
    <sheetView zoomScale="96" zoomScaleNormal="96" zoomScaleSheetLayoutView="100" workbookViewId="0">
      <pane xSplit="1" ySplit="1" topLeftCell="Y2" activePane="bottomRight" state="frozenSplit"/>
      <selection sqref="A1:XFD1"/>
      <selection pane="topRight" activeCell="B1" sqref="B1"/>
      <selection pane="bottomLeft"/>
      <selection pane="bottomRight"/>
    </sheetView>
  </sheetViews>
  <sheetFormatPr defaultColWidth="10.54296875" defaultRowHeight="15" x14ac:dyDescent="0.25"/>
  <cols>
    <col min="1" max="1" width="42" style="29" customWidth="1"/>
    <col min="2" max="10" width="10.54296875" style="1"/>
    <col min="11" max="19" width="10.54296875" style="1" customWidth="1"/>
    <col min="20" max="24" width="10.54296875" style="1"/>
    <col min="25" max="31" width="11.453125" style="1" customWidth="1"/>
    <col min="32" max="33" width="10.54296875" style="1"/>
    <col min="34" max="35" width="10.54296875" style="3"/>
    <col min="36" max="16384" width="10.54296875" style="1"/>
  </cols>
  <sheetData>
    <row r="1" spans="1:35" s="4" customFormat="1" ht="15.6" x14ac:dyDescent="0.3">
      <c r="A1" s="29" t="s">
        <v>89</v>
      </c>
      <c r="B1" s="27" t="s">
        <v>76</v>
      </c>
      <c r="C1" s="27" t="s">
        <v>77</v>
      </c>
      <c r="D1" s="27" t="s">
        <v>78</v>
      </c>
      <c r="E1" s="27" t="s">
        <v>79</v>
      </c>
      <c r="F1" s="27" t="s">
        <v>80</v>
      </c>
      <c r="G1" s="27" t="s">
        <v>124</v>
      </c>
      <c r="H1" s="27" t="s">
        <v>125</v>
      </c>
      <c r="I1" s="27" t="s">
        <v>129</v>
      </c>
      <c r="J1" s="27" t="s">
        <v>130</v>
      </c>
      <c r="K1" s="27" t="s">
        <v>132</v>
      </c>
      <c r="L1" s="27" t="s">
        <v>134</v>
      </c>
      <c r="M1" s="27" t="s">
        <v>136</v>
      </c>
      <c r="N1" s="27" t="s">
        <v>138</v>
      </c>
      <c r="O1" s="27" t="s">
        <v>140</v>
      </c>
      <c r="P1" s="27" t="s">
        <v>142</v>
      </c>
      <c r="Q1" s="27" t="s">
        <v>144</v>
      </c>
      <c r="R1" s="27" t="s">
        <v>146</v>
      </c>
      <c r="S1" s="27" t="s">
        <v>159</v>
      </c>
      <c r="T1" s="27" t="s">
        <v>161</v>
      </c>
      <c r="U1" s="27" t="s">
        <v>163</v>
      </c>
      <c r="V1" s="27" t="s">
        <v>165</v>
      </c>
      <c r="W1" s="27" t="s">
        <v>167</v>
      </c>
      <c r="X1" s="27" t="s">
        <v>170</v>
      </c>
      <c r="Y1" s="27" t="s">
        <v>173</v>
      </c>
      <c r="Z1" s="27" t="s">
        <v>174</v>
      </c>
      <c r="AA1" s="27" t="s">
        <v>176</v>
      </c>
      <c r="AB1" s="27" t="s">
        <v>179</v>
      </c>
      <c r="AC1" s="27" t="s">
        <v>181</v>
      </c>
      <c r="AD1" s="27" t="s">
        <v>183</v>
      </c>
      <c r="AE1" s="27" t="s">
        <v>200</v>
      </c>
      <c r="AF1" s="27" t="s">
        <v>203</v>
      </c>
      <c r="AG1" s="34" t="s">
        <v>205</v>
      </c>
      <c r="AH1" s="27" t="s">
        <v>63</v>
      </c>
      <c r="AI1" s="81" t="s">
        <v>62</v>
      </c>
    </row>
    <row r="2" spans="1:35" s="4" customFormat="1" ht="15.6" x14ac:dyDescent="0.3">
      <c r="A2" s="27" t="s">
        <v>11</v>
      </c>
      <c r="B2" s="27">
        <v>22.048819999999999</v>
      </c>
      <c r="C2" s="27">
        <v>31.13747</v>
      </c>
      <c r="D2" s="27">
        <v>33.396149999999999</v>
      </c>
      <c r="E2" s="27">
        <v>34.274999999999999</v>
      </c>
      <c r="F2" s="27">
        <v>30.470009999999998</v>
      </c>
      <c r="G2" s="27">
        <v>33.31</v>
      </c>
      <c r="H2" s="27">
        <v>39.24</v>
      </c>
      <c r="I2" s="27">
        <v>39.279990000000005</v>
      </c>
      <c r="J2" s="27">
        <v>35</v>
      </c>
      <c r="K2" s="27">
        <v>41.66</v>
      </c>
      <c r="L2" s="27">
        <f>119.6-J2-K2</f>
        <v>42.94</v>
      </c>
      <c r="M2" s="27">
        <v>51.19</v>
      </c>
      <c r="N2" s="27">
        <v>42.05</v>
      </c>
      <c r="O2" s="27">
        <v>40.76</v>
      </c>
      <c r="P2" s="27">
        <v>40.590000000000003</v>
      </c>
      <c r="Q2" s="27">
        <v>45.1</v>
      </c>
      <c r="R2" s="27">
        <v>45.39</v>
      </c>
      <c r="S2" s="27">
        <v>45.120000000000005</v>
      </c>
      <c r="T2" s="27">
        <v>42.2</v>
      </c>
      <c r="U2" s="27">
        <v>50.03</v>
      </c>
      <c r="V2" s="27">
        <v>37.53</v>
      </c>
      <c r="W2" s="27">
        <v>47.39</v>
      </c>
      <c r="X2" s="27">
        <v>58.88000000000001</v>
      </c>
      <c r="Y2" s="27">
        <v>60.12</v>
      </c>
      <c r="Z2" s="27">
        <v>56.97</v>
      </c>
      <c r="AA2" s="27">
        <v>59.74</v>
      </c>
      <c r="AB2" s="27">
        <v>58.26</v>
      </c>
      <c r="AC2" s="27">
        <f>63.5+1.5</f>
        <v>65</v>
      </c>
      <c r="AD2" s="27">
        <v>62.15</v>
      </c>
      <c r="AE2" s="27">
        <v>65.61</v>
      </c>
      <c r="AF2" s="27">
        <v>73.680000000000007</v>
      </c>
      <c r="AG2" s="34">
        <v>66.42</v>
      </c>
      <c r="AH2" s="38">
        <f>IFERROR(AG2/AF2-1,"-")</f>
        <v>-9.8534201954397438E-2</v>
      </c>
      <c r="AI2" s="82">
        <f>IFERROR(AG2/AC2-1,"-")</f>
        <v>2.1846153846153848E-2</v>
      </c>
    </row>
    <row r="3" spans="1:35" x14ac:dyDescent="0.25">
      <c r="A3" s="29" t="s">
        <v>81</v>
      </c>
      <c r="B3" s="29">
        <v>9.39</v>
      </c>
      <c r="C3" s="29">
        <v>13.754</v>
      </c>
      <c r="D3" s="29">
        <v>17.039000000000001</v>
      </c>
      <c r="E3" s="29">
        <v>15.42</v>
      </c>
      <c r="F3" s="29">
        <v>12.83620136</v>
      </c>
      <c r="G3" s="29">
        <v>13.89</v>
      </c>
      <c r="H3" s="29">
        <v>16.04</v>
      </c>
      <c r="I3" s="29">
        <v>19.190000000000001</v>
      </c>
      <c r="J3" s="29">
        <v>14.61</v>
      </c>
      <c r="K3" s="29">
        <v>20.98</v>
      </c>
      <c r="L3" s="29">
        <v>24.77</v>
      </c>
      <c r="M3" s="29">
        <v>21.06</v>
      </c>
      <c r="N3" s="29">
        <v>14</v>
      </c>
      <c r="O3" s="29">
        <v>14.5</v>
      </c>
      <c r="P3" s="29">
        <f>19.14-1.74</f>
        <v>17.400000000000002</v>
      </c>
      <c r="Q3" s="29">
        <v>20.9</v>
      </c>
      <c r="R3" s="29">
        <v>12.49</v>
      </c>
      <c r="S3" s="29">
        <v>22.75</v>
      </c>
      <c r="T3" s="56">
        <v>15.33</v>
      </c>
      <c r="U3" s="56">
        <v>18.760000000000005</v>
      </c>
      <c r="V3" s="56">
        <v>14.06</v>
      </c>
      <c r="W3" s="56">
        <v>18.559999999999995</v>
      </c>
      <c r="X3" s="56">
        <v>21.300000000000004</v>
      </c>
      <c r="Y3" s="56">
        <v>27.46</v>
      </c>
      <c r="Z3" s="56">
        <v>22.48</v>
      </c>
      <c r="AA3" s="56">
        <v>23.61</v>
      </c>
      <c r="AB3" s="56">
        <v>29.02</v>
      </c>
      <c r="AC3" s="56">
        <f>33.41-1.65</f>
        <v>31.759999999999998</v>
      </c>
      <c r="AD3" s="56">
        <v>30.6</v>
      </c>
      <c r="AE3" s="56">
        <v>34.53</v>
      </c>
      <c r="AF3" s="56">
        <v>37.08</v>
      </c>
      <c r="AG3" s="66">
        <f>R_wyników_FY!K3-R_wyników_Q!AF3-R_wyników_Q!AE3-R_wyników_Q!AD3</f>
        <v>39.85</v>
      </c>
      <c r="AH3" s="41">
        <f t="shared" ref="AH3:AH28" si="0">IFERROR(AG3/AF3-1,"-")</f>
        <v>7.4703344120820026E-2</v>
      </c>
      <c r="AI3" s="83">
        <f t="shared" ref="AI3:AI28" si="1">IFERROR(AG3/AC3-1,"-")</f>
        <v>0.25472292191435786</v>
      </c>
    </row>
    <row r="4" spans="1:35" s="2" customFormat="1" ht="15.6" x14ac:dyDescent="0.3">
      <c r="A4" s="43" t="s">
        <v>82</v>
      </c>
      <c r="B4" s="42">
        <f t="shared" ref="B4:G4" si="2">B3/B2</f>
        <v>0.42587313062558452</v>
      </c>
      <c r="C4" s="42">
        <f t="shared" si="2"/>
        <v>0.44171861104964533</v>
      </c>
      <c r="D4" s="42">
        <f t="shared" si="2"/>
        <v>0.51020851205902484</v>
      </c>
      <c r="E4" s="43">
        <f t="shared" si="2"/>
        <v>0.44989059080962801</v>
      </c>
      <c r="F4" s="42">
        <f t="shared" si="2"/>
        <v>0.42127329003173947</v>
      </c>
      <c r="G4" s="43">
        <f t="shared" si="2"/>
        <v>0.41699189432602823</v>
      </c>
      <c r="H4" s="43">
        <f t="shared" ref="H4:I4" si="3">H3/H2</f>
        <v>0.40876656472986744</v>
      </c>
      <c r="I4" s="43">
        <f t="shared" si="3"/>
        <v>0.48854391256209584</v>
      </c>
      <c r="J4" s="43">
        <f>J3/J2</f>
        <v>0.41742857142857143</v>
      </c>
      <c r="K4" s="43">
        <f>K3/K2</f>
        <v>0.50360057609217479</v>
      </c>
      <c r="L4" s="43">
        <f>L3/L2</f>
        <v>0.57685142058686545</v>
      </c>
      <c r="M4" s="43">
        <f t="shared" ref="M4:P4" si="4">M3/M2</f>
        <v>0.41140847821840204</v>
      </c>
      <c r="N4" s="43">
        <f t="shared" si="4"/>
        <v>0.33293697978596909</v>
      </c>
      <c r="O4" s="43">
        <f t="shared" si="4"/>
        <v>0.35574092247301276</v>
      </c>
      <c r="P4" s="43">
        <f t="shared" si="4"/>
        <v>0.42867701404286773</v>
      </c>
      <c r="Q4" s="43">
        <f t="shared" ref="Q4:U4" si="5">Q3/Q2</f>
        <v>0.46341463414634143</v>
      </c>
      <c r="R4" s="43">
        <f t="shared" si="5"/>
        <v>0.27517074245428508</v>
      </c>
      <c r="S4" s="43">
        <f t="shared" si="5"/>
        <v>0.50421099290780136</v>
      </c>
      <c r="T4" s="43">
        <f t="shared" si="5"/>
        <v>0.36327014218009479</v>
      </c>
      <c r="U4" s="43">
        <f t="shared" si="5"/>
        <v>0.3749750149910055</v>
      </c>
      <c r="V4" s="43">
        <f t="shared" ref="V4" si="6">V3/V2</f>
        <v>0.37463362643218756</v>
      </c>
      <c r="W4" s="43">
        <f>W3/W2</f>
        <v>0.39164380671027632</v>
      </c>
      <c r="X4" s="43">
        <f t="shared" ref="X4:AC4" si="7">X3/X2</f>
        <v>0.36175271739130438</v>
      </c>
      <c r="Y4" s="43">
        <f t="shared" si="7"/>
        <v>0.45675316034597474</v>
      </c>
      <c r="Z4" s="43">
        <f t="shared" si="7"/>
        <v>0.39459364577847994</v>
      </c>
      <c r="AA4" s="43">
        <f t="shared" si="7"/>
        <v>0.39521258788081687</v>
      </c>
      <c r="AB4" s="43">
        <f t="shared" si="7"/>
        <v>0.4981119121180913</v>
      </c>
      <c r="AC4" s="43">
        <f t="shared" si="7"/>
        <v>0.48861538461538456</v>
      </c>
      <c r="AD4" s="43">
        <f>IFERROR(AD3/AD2,"-")</f>
        <v>0.49235720032180214</v>
      </c>
      <c r="AE4" s="43">
        <f>IFERROR(AE3/AE2,"-")</f>
        <v>0.52629172382258804</v>
      </c>
      <c r="AF4" s="43">
        <f>IFERROR(AF3/AF2,"-")</f>
        <v>0.5032573289902279</v>
      </c>
      <c r="AG4" s="87">
        <f>IFERROR(AG3/AG2,"-")</f>
        <v>0.59996988858777478</v>
      </c>
      <c r="AH4" s="41">
        <f t="shared" si="0"/>
        <v>0.19217317667603173</v>
      </c>
      <c r="AI4" s="83">
        <f t="shared" si="1"/>
        <v>0.22789807173190701</v>
      </c>
    </row>
    <row r="5" spans="1:35" x14ac:dyDescent="0.25">
      <c r="A5" s="29" t="s">
        <v>83</v>
      </c>
      <c r="B5" s="29">
        <v>12.659000000000001</v>
      </c>
      <c r="C5" s="29">
        <v>17.382999999999999</v>
      </c>
      <c r="D5" s="29">
        <v>16.356999999999999</v>
      </c>
      <c r="E5" s="29">
        <v>18.86</v>
      </c>
      <c r="F5" s="29">
        <v>17.633808640000002</v>
      </c>
      <c r="G5" s="29">
        <v>19.420000000000002</v>
      </c>
      <c r="H5" s="29">
        <v>23.2</v>
      </c>
      <c r="I5" s="29">
        <v>20.09</v>
      </c>
      <c r="J5" s="29">
        <v>20.39</v>
      </c>
      <c r="K5" s="29">
        <v>20.68</v>
      </c>
      <c r="L5" s="29">
        <v>18.170000000000002</v>
      </c>
      <c r="M5" s="29">
        <v>30.130000000000003</v>
      </c>
      <c r="N5" s="29">
        <v>28.05</v>
      </c>
      <c r="O5" s="29">
        <v>26.26</v>
      </c>
      <c r="P5" s="29">
        <f>P2-P3</f>
        <v>23.19</v>
      </c>
      <c r="Q5" s="29">
        <v>24.2</v>
      </c>
      <c r="R5" s="29">
        <v>32.9</v>
      </c>
      <c r="S5" s="29">
        <v>22.370000000000005</v>
      </c>
      <c r="T5" s="56">
        <v>26.87</v>
      </c>
      <c r="U5" s="56">
        <v>31.269999999999996</v>
      </c>
      <c r="V5" s="56">
        <v>23.47</v>
      </c>
      <c r="W5" s="56">
        <v>28.830000000000005</v>
      </c>
      <c r="X5" s="56">
        <v>37.579999999999991</v>
      </c>
      <c r="Y5" s="56">
        <v>32.659999999999997</v>
      </c>
      <c r="Z5" s="56">
        <v>34.49</v>
      </c>
      <c r="AA5" s="56">
        <v>36.130000000000003</v>
      </c>
      <c r="AB5" s="56">
        <v>29.24</v>
      </c>
      <c r="AC5" s="56">
        <f>30.09+3.15</f>
        <v>33.24</v>
      </c>
      <c r="AD5" s="56">
        <v>31.55</v>
      </c>
      <c r="AE5" s="56">
        <v>31.08</v>
      </c>
      <c r="AF5" s="56">
        <v>36.6</v>
      </c>
      <c r="AG5" s="66">
        <f>R_wyników_FY!K5-R_wyników_Q!AF5-R_wyników_Q!AE5-R_wyników_Q!AD5</f>
        <v>26.56999999999999</v>
      </c>
      <c r="AH5" s="41">
        <f t="shared" si="0"/>
        <v>-0.27404371584699483</v>
      </c>
      <c r="AI5" s="83">
        <f t="shared" si="1"/>
        <v>-0.20066185318892937</v>
      </c>
    </row>
    <row r="6" spans="1:35" s="2" customFormat="1" ht="15.6" x14ac:dyDescent="0.3">
      <c r="A6" s="43" t="s">
        <v>84</v>
      </c>
      <c r="B6" s="42">
        <f t="shared" ref="B6:M6" si="8">B5/B2</f>
        <v>0.57413503307660008</v>
      </c>
      <c r="C6" s="42">
        <f t="shared" si="8"/>
        <v>0.55826629459618904</v>
      </c>
      <c r="D6" s="42">
        <f t="shared" si="8"/>
        <v>0.48978699640527423</v>
      </c>
      <c r="E6" s="43">
        <f t="shared" si="8"/>
        <v>0.55025528811086799</v>
      </c>
      <c r="F6" s="42">
        <f t="shared" si="8"/>
        <v>0.5787267099682607</v>
      </c>
      <c r="G6" s="43">
        <f t="shared" si="8"/>
        <v>0.58300810567397177</v>
      </c>
      <c r="H6" s="43">
        <f t="shared" si="8"/>
        <v>0.5912334352701325</v>
      </c>
      <c r="I6" s="43">
        <f t="shared" si="8"/>
        <v>0.51145634202045365</v>
      </c>
      <c r="J6" s="43">
        <f t="shared" si="8"/>
        <v>0.58257142857142863</v>
      </c>
      <c r="K6" s="43">
        <f t="shared" si="8"/>
        <v>0.49639942390782527</v>
      </c>
      <c r="L6" s="43">
        <f t="shared" si="8"/>
        <v>0.42314857941313466</v>
      </c>
      <c r="M6" s="43">
        <f t="shared" si="8"/>
        <v>0.58859152178159801</v>
      </c>
      <c r="N6" s="43">
        <f t="shared" ref="N6:P6" si="9">N5/N2</f>
        <v>0.66706302021403097</v>
      </c>
      <c r="O6" s="43">
        <f t="shared" si="9"/>
        <v>0.6442590775269873</v>
      </c>
      <c r="P6" s="43">
        <f t="shared" si="9"/>
        <v>0.57132298595713227</v>
      </c>
      <c r="Q6" s="43">
        <f t="shared" ref="Q6:U6" si="10">Q5/Q2</f>
        <v>0.53658536585365846</v>
      </c>
      <c r="R6" s="43">
        <f t="shared" si="10"/>
        <v>0.72482925754571492</v>
      </c>
      <c r="S6" s="43">
        <f t="shared" si="10"/>
        <v>0.49578900709219864</v>
      </c>
      <c r="T6" s="43">
        <f t="shared" si="10"/>
        <v>0.63672985781990521</v>
      </c>
      <c r="U6" s="43">
        <f t="shared" si="10"/>
        <v>0.6250249850089945</v>
      </c>
      <c r="V6" s="43">
        <f t="shared" ref="V6" si="11">V5/V2</f>
        <v>0.62536637356781233</v>
      </c>
      <c r="W6" s="43">
        <f t="shared" ref="W6:Y6" si="12">W5/W2</f>
        <v>0.60835619328972368</v>
      </c>
      <c r="X6" s="43">
        <f t="shared" si="12"/>
        <v>0.63824728260869534</v>
      </c>
      <c r="Y6" s="43">
        <f t="shared" si="12"/>
        <v>0.5432468396540252</v>
      </c>
      <c r="Z6" s="43">
        <f>Z5/Z2</f>
        <v>0.60540635422152012</v>
      </c>
      <c r="AA6" s="43">
        <f>AA5/AA2</f>
        <v>0.60478741211918319</v>
      </c>
      <c r="AB6" s="43">
        <f>AB5/AB2</f>
        <v>0.50188808788190864</v>
      </c>
      <c r="AC6" s="43">
        <f>AC5/AC2</f>
        <v>0.51138461538461544</v>
      </c>
      <c r="AD6" s="43">
        <f>IFERROR(AD5/AD2,"-")</f>
        <v>0.50764279967819792</v>
      </c>
      <c r="AE6" s="43">
        <f>IFERROR(AE5/AE2,"-")</f>
        <v>0.47370827617741196</v>
      </c>
      <c r="AF6" s="43">
        <f>IFERROR(AF5/AF2,"-")</f>
        <v>0.49674267100977199</v>
      </c>
      <c r="AG6" s="87">
        <f>IFERROR(AG5/AG2,"-")</f>
        <v>0.40003011141222505</v>
      </c>
      <c r="AH6" s="41">
        <f t="shared" si="0"/>
        <v>-0.19469348063243874</v>
      </c>
      <c r="AI6" s="83">
        <f t="shared" si="1"/>
        <v>-0.21775098550557681</v>
      </c>
    </row>
    <row r="7" spans="1:35" ht="30" x14ac:dyDescent="0.25">
      <c r="A7" s="78" t="s">
        <v>12</v>
      </c>
      <c r="B7" s="29">
        <v>14.340249999999999</v>
      </c>
      <c r="C7" s="29">
        <v>18.378350000000001</v>
      </c>
      <c r="D7" s="29">
        <v>20.219360000000002</v>
      </c>
      <c r="E7" s="29">
        <v>20.689</v>
      </c>
      <c r="F7" s="29">
        <v>18.545750000000002</v>
      </c>
      <c r="G7" s="29">
        <v>20.45</v>
      </c>
      <c r="H7" s="29">
        <v>21.03</v>
      </c>
      <c r="I7" s="29">
        <v>20.414249999999996</v>
      </c>
      <c r="J7" s="29">
        <v>20.77</v>
      </c>
      <c r="K7" s="29">
        <v>24.17</v>
      </c>
      <c r="L7" s="29">
        <f>67.67-J7-K7</f>
        <v>22.730000000000004</v>
      </c>
      <c r="M7" s="29">
        <v>32.399999999999991</v>
      </c>
      <c r="N7" s="29">
        <v>24.8</v>
      </c>
      <c r="O7" s="29">
        <v>25.48</v>
      </c>
      <c r="P7" s="29">
        <v>24.3</v>
      </c>
      <c r="Q7" s="29">
        <v>31.47</v>
      </c>
      <c r="R7" s="29">
        <v>27.11</v>
      </c>
      <c r="S7" s="29">
        <v>25.68</v>
      </c>
      <c r="T7" s="56">
        <v>25.62</v>
      </c>
      <c r="U7" s="56">
        <v>29.76</v>
      </c>
      <c r="V7" s="56">
        <v>22.06</v>
      </c>
      <c r="W7" s="56">
        <v>26.81</v>
      </c>
      <c r="X7" s="56">
        <v>36.690000000000005</v>
      </c>
      <c r="Y7" s="56">
        <v>40.79</v>
      </c>
      <c r="Z7" s="56">
        <v>35.76</v>
      </c>
      <c r="AA7" s="56">
        <v>36.56</v>
      </c>
      <c r="AB7" s="56">
        <v>36.869999999999997</v>
      </c>
      <c r="AC7" s="56">
        <f>41.1+1.72</f>
        <v>42.82</v>
      </c>
      <c r="AD7" s="56">
        <v>37.020000000000003</v>
      </c>
      <c r="AE7" s="56">
        <v>38.99</v>
      </c>
      <c r="AF7" s="56">
        <v>42.73</v>
      </c>
      <c r="AG7" s="66">
        <v>37.4</v>
      </c>
      <c r="AH7" s="41">
        <f t="shared" si="0"/>
        <v>-0.124736718932834</v>
      </c>
      <c r="AI7" s="83">
        <f t="shared" si="1"/>
        <v>-0.12657636618402623</v>
      </c>
    </row>
    <row r="8" spans="1:35" s="2" customFormat="1" ht="31.2" x14ac:dyDescent="0.3">
      <c r="A8" s="72" t="s">
        <v>88</v>
      </c>
      <c r="B8" s="42">
        <f t="shared" ref="B8:G8" si="13">B7/B2</f>
        <v>0.65038627917503067</v>
      </c>
      <c r="C8" s="42">
        <f t="shared" si="13"/>
        <v>0.59023260399769151</v>
      </c>
      <c r="D8" s="42">
        <f t="shared" si="13"/>
        <v>0.60543984860530342</v>
      </c>
      <c r="E8" s="43">
        <f t="shared" si="13"/>
        <v>0.60361779722830056</v>
      </c>
      <c r="F8" s="42">
        <f t="shared" si="13"/>
        <v>0.60865585538042166</v>
      </c>
      <c r="G8" s="43">
        <f t="shared" si="13"/>
        <v>0.61392975082557788</v>
      </c>
      <c r="H8" s="43">
        <f t="shared" ref="H8:I8" si="14">H7/H2</f>
        <v>0.53593272171253825</v>
      </c>
      <c r="I8" s="43">
        <f t="shared" si="14"/>
        <v>0.51971118118920079</v>
      </c>
      <c r="J8" s="43">
        <f>J7/J2</f>
        <v>0.59342857142857142</v>
      </c>
      <c r="K8" s="43">
        <f>K7/K2</f>
        <v>0.58017282765242451</v>
      </c>
      <c r="L8" s="43">
        <f>L7/L2</f>
        <v>0.52934326967862144</v>
      </c>
      <c r="M8" s="43">
        <f t="shared" ref="M8:P8" si="15">M7/M2</f>
        <v>0.63293612033600299</v>
      </c>
      <c r="N8" s="43">
        <f t="shared" si="15"/>
        <v>0.58977407847800245</v>
      </c>
      <c r="O8" s="43">
        <f t="shared" si="15"/>
        <v>0.62512266928361138</v>
      </c>
      <c r="P8" s="43">
        <f t="shared" si="15"/>
        <v>0.59866962305986693</v>
      </c>
      <c r="Q8" s="43">
        <f t="shared" ref="Q8:U8" si="16">Q7/Q2</f>
        <v>0.69778270509977824</v>
      </c>
      <c r="R8" s="43">
        <f t="shared" si="16"/>
        <v>0.59726812073143865</v>
      </c>
      <c r="S8" s="43">
        <f t="shared" si="16"/>
        <v>0.56914893617021267</v>
      </c>
      <c r="T8" s="43">
        <f t="shared" si="16"/>
        <v>0.60710900473933649</v>
      </c>
      <c r="U8" s="43">
        <f t="shared" si="16"/>
        <v>0.59484309414351388</v>
      </c>
      <c r="V8" s="43">
        <f t="shared" ref="V8" si="17">V7/V2</f>
        <v>0.58779642952304823</v>
      </c>
      <c r="W8" s="43">
        <f t="shared" ref="W8:AC8" si="18">W7/W2</f>
        <v>0.56573116691285075</v>
      </c>
      <c r="X8" s="43">
        <f t="shared" si="18"/>
        <v>0.62313179347826086</v>
      </c>
      <c r="Y8" s="43">
        <f t="shared" si="18"/>
        <v>0.67847638057218895</v>
      </c>
      <c r="Z8" s="43">
        <f t="shared" si="18"/>
        <v>0.62769878883622954</v>
      </c>
      <c r="AA8" s="43">
        <f t="shared" si="18"/>
        <v>0.61198526950117171</v>
      </c>
      <c r="AB8" s="43">
        <f t="shared" si="18"/>
        <v>0.63285272914521107</v>
      </c>
      <c r="AC8" s="43">
        <f t="shared" si="18"/>
        <v>0.65876923076923077</v>
      </c>
      <c r="AD8" s="43">
        <f>IFERROR(AD7/AD2,"-")</f>
        <v>0.59565567176186651</v>
      </c>
      <c r="AE8" s="43">
        <f>IFERROR(AE7/AE2,"-")</f>
        <v>0.5942691662856272</v>
      </c>
      <c r="AF8" s="43">
        <f>IFERROR(AF7/AF2,"-")</f>
        <v>0.57994028230184569</v>
      </c>
      <c r="AG8" s="87">
        <f>IFERROR(AG7/AG2,"-")</f>
        <v>0.5630834086118639</v>
      </c>
      <c r="AH8" s="41">
        <f t="shared" si="0"/>
        <v>-2.9066568066413723E-2</v>
      </c>
      <c r="AI8" s="83">
        <f t="shared" si="1"/>
        <v>-0.14524937973444296</v>
      </c>
    </row>
    <row r="9" spans="1:35" s="4" customFormat="1" ht="15.6" x14ac:dyDescent="0.3">
      <c r="A9" s="27" t="s">
        <v>148</v>
      </c>
      <c r="B9" s="27">
        <v>7.7085699999999999</v>
      </c>
      <c r="C9" s="27">
        <v>12.759119999999999</v>
      </c>
      <c r="D9" s="27">
        <v>13.17679</v>
      </c>
      <c r="E9" s="27">
        <v>13.586</v>
      </c>
      <c r="F9" s="27">
        <v>11.92426</v>
      </c>
      <c r="G9" s="27">
        <v>12.86</v>
      </c>
      <c r="H9" s="27">
        <v>18.21</v>
      </c>
      <c r="I9" s="27">
        <v>18.865739999999995</v>
      </c>
      <c r="J9" s="27">
        <v>14.23</v>
      </c>
      <c r="K9" s="27">
        <v>17.48</v>
      </c>
      <c r="L9" s="27">
        <f>51.92-J9-K9</f>
        <v>20.209999999999997</v>
      </c>
      <c r="M9" s="27">
        <v>18.799999999999994</v>
      </c>
      <c r="N9" s="27">
        <v>17.25</v>
      </c>
      <c r="O9" s="27">
        <v>15.29</v>
      </c>
      <c r="P9" s="27">
        <v>16.29</v>
      </c>
      <c r="Q9" s="27">
        <v>13.62</v>
      </c>
      <c r="R9" s="27">
        <v>18.28</v>
      </c>
      <c r="S9" s="27">
        <v>19.440000000000001</v>
      </c>
      <c r="T9" s="55">
        <v>16.57</v>
      </c>
      <c r="U9" s="55">
        <v>20.27</v>
      </c>
      <c r="V9" s="55">
        <v>15.47</v>
      </c>
      <c r="W9" s="55">
        <v>20.58</v>
      </c>
      <c r="X9" s="55">
        <v>22.190000000000005</v>
      </c>
      <c r="Y9" s="55">
        <v>19.329999999999998</v>
      </c>
      <c r="Z9" s="55">
        <v>21.21</v>
      </c>
      <c r="AA9" s="55">
        <v>23.18</v>
      </c>
      <c r="AB9" s="55">
        <f>AB2-AB7</f>
        <v>21.39</v>
      </c>
      <c r="AC9" s="55">
        <f>22.39-0.21</f>
        <v>22.18</v>
      </c>
      <c r="AD9" s="55">
        <v>25.13</v>
      </c>
      <c r="AE9" s="55">
        <v>26.62</v>
      </c>
      <c r="AF9" s="55">
        <v>30.95</v>
      </c>
      <c r="AG9" s="53">
        <v>29.02</v>
      </c>
      <c r="AH9" s="38">
        <f t="shared" si="0"/>
        <v>-6.2358642972536349E-2</v>
      </c>
      <c r="AI9" s="82">
        <f t="shared" si="1"/>
        <v>0.30838593327321906</v>
      </c>
    </row>
    <row r="10" spans="1:35" s="25" customFormat="1" ht="15.6" x14ac:dyDescent="0.3">
      <c r="A10" s="43" t="s">
        <v>157</v>
      </c>
      <c r="B10" s="43">
        <f t="shared" ref="B10:G10" si="19">B9/B2</f>
        <v>0.34961372082496933</v>
      </c>
      <c r="C10" s="43">
        <f t="shared" si="19"/>
        <v>0.40976739600230844</v>
      </c>
      <c r="D10" s="43">
        <f t="shared" si="19"/>
        <v>0.39456015139469675</v>
      </c>
      <c r="E10" s="43">
        <f t="shared" si="19"/>
        <v>0.3963822027716995</v>
      </c>
      <c r="F10" s="43">
        <f t="shared" si="19"/>
        <v>0.39134414461957845</v>
      </c>
      <c r="G10" s="43">
        <f t="shared" si="19"/>
        <v>0.38607024917442206</v>
      </c>
      <c r="H10" s="43">
        <f t="shared" ref="H10:M10" si="20">H9/H2</f>
        <v>0.46406727828746175</v>
      </c>
      <c r="I10" s="43">
        <f t="shared" si="20"/>
        <v>0.48028881881079888</v>
      </c>
      <c r="J10" s="43">
        <f t="shared" si="20"/>
        <v>0.40657142857142858</v>
      </c>
      <c r="K10" s="43">
        <f t="shared" si="20"/>
        <v>0.41958713394143066</v>
      </c>
      <c r="L10" s="43">
        <f t="shared" si="20"/>
        <v>0.47065673032137861</v>
      </c>
      <c r="M10" s="43">
        <f t="shared" si="20"/>
        <v>0.36725923031842145</v>
      </c>
      <c r="N10" s="43">
        <f t="shared" ref="N10:P10" si="21">N9/N2</f>
        <v>0.41022592152199766</v>
      </c>
      <c r="O10" s="43">
        <f t="shared" si="21"/>
        <v>0.37512266928361138</v>
      </c>
      <c r="P10" s="43">
        <f t="shared" si="21"/>
        <v>0.40133037694013296</v>
      </c>
      <c r="Q10" s="43">
        <f t="shared" ref="Q10:U10" si="22">Q9/Q2</f>
        <v>0.30199556541019951</v>
      </c>
      <c r="R10" s="43">
        <f t="shared" si="22"/>
        <v>0.40273187926856135</v>
      </c>
      <c r="S10" s="43">
        <f t="shared" si="22"/>
        <v>0.43085106382978722</v>
      </c>
      <c r="T10" s="43">
        <f t="shared" si="22"/>
        <v>0.39265402843601893</v>
      </c>
      <c r="U10" s="43">
        <f t="shared" si="22"/>
        <v>0.40515690585648612</v>
      </c>
      <c r="V10" s="43">
        <f t="shared" ref="V10" si="23">V9/V2</f>
        <v>0.41220357047695177</v>
      </c>
      <c r="W10" s="43">
        <f t="shared" ref="W10:AC10" si="24">W9/W2</f>
        <v>0.43426883308714914</v>
      </c>
      <c r="X10" s="43">
        <f t="shared" si="24"/>
        <v>0.37686820652173914</v>
      </c>
      <c r="Y10" s="43">
        <f t="shared" si="24"/>
        <v>0.32152361942781105</v>
      </c>
      <c r="Z10" s="43">
        <f t="shared" si="24"/>
        <v>0.37230121116377041</v>
      </c>
      <c r="AA10" s="43">
        <f t="shared" si="24"/>
        <v>0.38801473049882823</v>
      </c>
      <c r="AB10" s="43">
        <f t="shared" si="24"/>
        <v>0.36714727085478888</v>
      </c>
      <c r="AC10" s="43">
        <f t="shared" si="24"/>
        <v>0.34123076923076923</v>
      </c>
      <c r="AD10" s="43">
        <f>IFERROR(AD9/AD2,"-")</f>
        <v>0.40434432823813354</v>
      </c>
      <c r="AE10" s="43">
        <f>IFERROR(AE9/AE2,"-")</f>
        <v>0.40573083371437285</v>
      </c>
      <c r="AF10" s="43">
        <f>IFERROR(AF9/AF2,"-")</f>
        <v>0.42005971769815414</v>
      </c>
      <c r="AG10" s="88">
        <f>IFERROR(AG9/AG2,"-")</f>
        <v>0.4369165913881361</v>
      </c>
      <c r="AH10" s="41">
        <f t="shared" si="0"/>
        <v>4.0129707705262474E-2</v>
      </c>
      <c r="AI10" s="83">
        <f t="shared" si="1"/>
        <v>0.28041381606081361</v>
      </c>
    </row>
    <row r="11" spans="1:35" x14ac:dyDescent="0.25">
      <c r="A11" s="29" t="s">
        <v>13</v>
      </c>
      <c r="B11" s="29">
        <v>0.39284999999999998</v>
      </c>
      <c r="C11" s="29">
        <v>1.208E-2</v>
      </c>
      <c r="D11" s="29">
        <v>0.66849999999999998</v>
      </c>
      <c r="E11" s="29">
        <v>1.0029999999999999</v>
      </c>
      <c r="F11" s="29">
        <v>0.39810000000000001</v>
      </c>
      <c r="G11" s="29">
        <v>0.27</v>
      </c>
      <c r="H11" s="29">
        <v>0.63</v>
      </c>
      <c r="I11" s="29">
        <v>2.0019</v>
      </c>
      <c r="J11" s="29">
        <v>0.89</v>
      </c>
      <c r="K11" s="29">
        <v>0.32</v>
      </c>
      <c r="L11" s="29">
        <f>1.69-J11-K11</f>
        <v>0.47999999999999993</v>
      </c>
      <c r="M11" s="29">
        <v>1.3499999999999999</v>
      </c>
      <c r="N11" s="29">
        <v>0.44</v>
      </c>
      <c r="O11" s="29">
        <v>0.82</v>
      </c>
      <c r="P11" s="29">
        <v>0.54</v>
      </c>
      <c r="Q11" s="29">
        <v>0.99</v>
      </c>
      <c r="R11" s="29">
        <v>0.36</v>
      </c>
      <c r="S11" s="29">
        <v>1.52</v>
      </c>
      <c r="T11" s="1">
        <v>3.2</v>
      </c>
      <c r="U11" s="1">
        <v>1.1400000000000001</v>
      </c>
      <c r="V11" s="1">
        <v>0.54</v>
      </c>
      <c r="W11" s="1">
        <v>0.46</v>
      </c>
      <c r="X11" s="1">
        <v>1.1000000000000001</v>
      </c>
      <c r="Y11" s="1">
        <v>4.1100000000000003</v>
      </c>
      <c r="Z11" s="1">
        <v>1.1499999999999999</v>
      </c>
      <c r="AA11" s="1">
        <v>0.41</v>
      </c>
      <c r="AB11" s="1">
        <v>0.99</v>
      </c>
      <c r="AC11" s="1">
        <f>2.53+0.15</f>
        <v>2.6799999999999997</v>
      </c>
      <c r="AD11" s="1">
        <v>0.22</v>
      </c>
      <c r="AE11" s="1">
        <v>0.44</v>
      </c>
      <c r="AF11" s="56">
        <v>1.55</v>
      </c>
      <c r="AG11" s="66">
        <v>3.24</v>
      </c>
      <c r="AH11" s="41">
        <f t="shared" si="0"/>
        <v>1.0903225806451613</v>
      </c>
      <c r="AI11" s="83">
        <f t="shared" si="1"/>
        <v>0.20895522388059717</v>
      </c>
    </row>
    <row r="12" spans="1:35" x14ac:dyDescent="0.25">
      <c r="A12" s="29" t="s">
        <v>14</v>
      </c>
      <c r="B12" s="29">
        <v>5.5493600000000001</v>
      </c>
      <c r="C12" s="29">
        <v>7.50021</v>
      </c>
      <c r="D12" s="29">
        <v>8.3685799999999997</v>
      </c>
      <c r="E12" s="29">
        <v>8.99</v>
      </c>
      <c r="F12" s="29">
        <v>6.9743899999999996</v>
      </c>
      <c r="G12" s="29">
        <v>7.64</v>
      </c>
      <c r="H12" s="29">
        <v>11.76</v>
      </c>
      <c r="I12" s="29">
        <v>9.8556099999999969</v>
      </c>
      <c r="J12" s="29">
        <v>9.5399999999999991</v>
      </c>
      <c r="K12" s="29">
        <v>10.95</v>
      </c>
      <c r="L12" s="29">
        <f>32.73-J12-K12</f>
        <v>12.239999999999998</v>
      </c>
      <c r="M12" s="29">
        <v>10.240000000000002</v>
      </c>
      <c r="N12" s="29">
        <v>10.19</v>
      </c>
      <c r="O12" s="29">
        <v>11.6</v>
      </c>
      <c r="P12" s="29">
        <v>11</v>
      </c>
      <c r="Q12" s="29">
        <v>13.99</v>
      </c>
      <c r="R12" s="29">
        <v>12.05</v>
      </c>
      <c r="S12" s="29">
        <v>12.83</v>
      </c>
      <c r="T12" s="1">
        <v>9.98</v>
      </c>
      <c r="U12" s="1">
        <v>13.01</v>
      </c>
      <c r="V12" s="1">
        <v>9.5399999999999991</v>
      </c>
      <c r="W12" s="1">
        <v>12.43</v>
      </c>
      <c r="X12" s="1">
        <v>14.370000000000005</v>
      </c>
      <c r="Y12" s="1">
        <v>14.35</v>
      </c>
      <c r="Z12" s="1">
        <v>12.76</v>
      </c>
      <c r="AA12" s="1">
        <v>14.9</v>
      </c>
      <c r="AB12" s="1">
        <f>7.64+4.8</f>
        <v>12.44</v>
      </c>
      <c r="AC12" s="1">
        <f>15.51+0.68</f>
        <v>16.190000000000001</v>
      </c>
      <c r="AD12" s="1">
        <v>15.15</v>
      </c>
      <c r="AE12" s="1">
        <v>15.75</v>
      </c>
      <c r="AF12" s="56">
        <v>15.34</v>
      </c>
      <c r="AG12" s="66">
        <v>15.26</v>
      </c>
      <c r="AH12" s="41">
        <f t="shared" si="0"/>
        <v>-5.2151238591916504E-3</v>
      </c>
      <c r="AI12" s="83">
        <f t="shared" si="1"/>
        <v>-5.7442865966646162E-2</v>
      </c>
    </row>
    <row r="13" spans="1:35" s="25" customFormat="1" ht="15.6" x14ac:dyDescent="0.3">
      <c r="A13" s="43" t="s">
        <v>65</v>
      </c>
      <c r="B13" s="43">
        <f t="shared" ref="B13:M13" si="25">B12/B2</f>
        <v>0.25168512419258721</v>
      </c>
      <c r="C13" s="43">
        <f t="shared" si="25"/>
        <v>0.24087409799190493</v>
      </c>
      <c r="D13" s="43">
        <f t="shared" si="25"/>
        <v>0.25058517224290822</v>
      </c>
      <c r="E13" s="43">
        <f t="shared" si="25"/>
        <v>0.26229029905178702</v>
      </c>
      <c r="F13" s="43">
        <f t="shared" si="25"/>
        <v>0.22889359077991769</v>
      </c>
      <c r="G13" s="43">
        <f t="shared" si="25"/>
        <v>0.22936055238667064</v>
      </c>
      <c r="H13" s="43">
        <f t="shared" si="25"/>
        <v>0.29969418960244648</v>
      </c>
      <c r="I13" s="43">
        <f t="shared" si="25"/>
        <v>0.25090663210453962</v>
      </c>
      <c r="J13" s="43">
        <f t="shared" si="25"/>
        <v>0.27257142857142852</v>
      </c>
      <c r="K13" s="43">
        <f t="shared" si="25"/>
        <v>0.2628420547287566</v>
      </c>
      <c r="L13" s="43">
        <f t="shared" si="25"/>
        <v>0.28504890544946437</v>
      </c>
      <c r="M13" s="43">
        <f t="shared" si="25"/>
        <v>0.20003907013088498</v>
      </c>
      <c r="N13" s="43">
        <f t="shared" ref="N13:P13" si="26">N12/N2</f>
        <v>0.2423305588585018</v>
      </c>
      <c r="O13" s="43">
        <f t="shared" si="26"/>
        <v>0.28459273797841023</v>
      </c>
      <c r="P13" s="43">
        <f t="shared" si="26"/>
        <v>0.27100271002710025</v>
      </c>
      <c r="Q13" s="43">
        <f t="shared" ref="Q13:U13" si="27">Q12/Q2</f>
        <v>0.31019955654101994</v>
      </c>
      <c r="R13" s="43">
        <f t="shared" si="27"/>
        <v>0.26547697730777703</v>
      </c>
      <c r="S13" s="43">
        <f t="shared" si="27"/>
        <v>0.28435283687943258</v>
      </c>
      <c r="T13" s="25">
        <f t="shared" si="27"/>
        <v>0.23649289099526066</v>
      </c>
      <c r="U13" s="25">
        <f t="shared" si="27"/>
        <v>0.26004397361583048</v>
      </c>
      <c r="V13" s="25">
        <f t="shared" ref="V13" si="28">V12/V2</f>
        <v>0.25419664268585129</v>
      </c>
      <c r="W13" s="25">
        <f t="shared" ref="W13:AC13" si="29">W12/W2</f>
        <v>0.26229162270521206</v>
      </c>
      <c r="X13" s="25">
        <f t="shared" si="29"/>
        <v>0.24405570652173916</v>
      </c>
      <c r="Y13" s="25">
        <f t="shared" si="29"/>
        <v>0.2386892880904857</v>
      </c>
      <c r="Z13" s="25">
        <f t="shared" si="29"/>
        <v>0.22397753203440407</v>
      </c>
      <c r="AA13" s="25">
        <f t="shared" si="29"/>
        <v>0.24941412788751255</v>
      </c>
      <c r="AB13" s="25">
        <f t="shared" si="29"/>
        <v>0.21352557500858221</v>
      </c>
      <c r="AC13" s="25">
        <f t="shared" si="29"/>
        <v>0.24907692307692308</v>
      </c>
      <c r="AD13" s="25">
        <f>IFERROR(AD12/AD2,"-")</f>
        <v>0.24376508447304909</v>
      </c>
      <c r="AE13" s="25">
        <f>IFERROR(AE12/AE2,"-")</f>
        <v>0.24005486968449932</v>
      </c>
      <c r="AF13" s="25">
        <f>IFERROR(AF12/AF2,"-")</f>
        <v>0.20819761129207381</v>
      </c>
      <c r="AG13" s="89">
        <f>IFERROR(AG12/AG2,"-")</f>
        <v>0.22975007527853056</v>
      </c>
      <c r="AH13" s="41">
        <f t="shared" si="0"/>
        <v>0.10351926639648856</v>
      </c>
      <c r="AI13" s="83">
        <f t="shared" si="1"/>
        <v>-7.7593891716832286E-2</v>
      </c>
    </row>
    <row r="14" spans="1:35" x14ac:dyDescent="0.25">
      <c r="A14" s="29" t="s">
        <v>15</v>
      </c>
      <c r="B14" s="29">
        <v>2.9874100000000001</v>
      </c>
      <c r="C14" s="29">
        <v>4.1910499999999997</v>
      </c>
      <c r="D14" s="29">
        <v>2.6489500000000001</v>
      </c>
      <c r="E14" s="29">
        <v>2.8969999999999998</v>
      </c>
      <c r="F14" s="29">
        <v>4.37737</v>
      </c>
      <c r="G14" s="29">
        <v>4.18</v>
      </c>
      <c r="H14" s="29">
        <v>5.0599999999999996</v>
      </c>
      <c r="I14" s="29">
        <v>6.2626300000000006</v>
      </c>
      <c r="J14" s="29">
        <v>4.72</v>
      </c>
      <c r="K14" s="29">
        <v>4.67</v>
      </c>
      <c r="L14" s="29">
        <f>14.88-J14-K14</f>
        <v>5.49</v>
      </c>
      <c r="M14" s="29">
        <v>5.3800000000000026</v>
      </c>
      <c r="N14" s="29">
        <v>5.62</v>
      </c>
      <c r="O14" s="29">
        <v>6.1</v>
      </c>
      <c r="P14" s="29">
        <v>5.2</v>
      </c>
      <c r="Q14" s="29">
        <v>6.21</v>
      </c>
      <c r="R14" s="29">
        <v>5.37</v>
      </c>
      <c r="S14" s="29">
        <v>4.3899999999999997</v>
      </c>
      <c r="T14" s="1">
        <v>5.91</v>
      </c>
      <c r="U14" s="1">
        <v>6.1800000000000006</v>
      </c>
      <c r="V14" s="1">
        <v>5.55</v>
      </c>
      <c r="W14" s="1">
        <v>5.94</v>
      </c>
      <c r="X14" s="1">
        <v>6.35</v>
      </c>
      <c r="Y14" s="1">
        <v>6.83</v>
      </c>
      <c r="Z14" s="1">
        <v>7.05</v>
      </c>
      <c r="AA14" s="1">
        <v>6.07</v>
      </c>
      <c r="AB14" s="1">
        <f>4.54+2.02</f>
        <v>6.5600000000000005</v>
      </c>
      <c r="AC14" s="1">
        <f>7.74-0.99</f>
        <v>6.75</v>
      </c>
      <c r="AD14" s="1">
        <v>7.7</v>
      </c>
      <c r="AE14" s="1">
        <v>7.83</v>
      </c>
      <c r="AF14" s="56">
        <v>10.25</v>
      </c>
      <c r="AG14" s="66">
        <v>9.36</v>
      </c>
      <c r="AH14" s="41">
        <f t="shared" si="0"/>
        <v>-8.6829268292683004E-2</v>
      </c>
      <c r="AI14" s="83">
        <f t="shared" si="1"/>
        <v>0.38666666666666649</v>
      </c>
    </row>
    <row r="15" spans="1:35" s="2" customFormat="1" ht="15.6" x14ac:dyDescent="0.3">
      <c r="A15" s="42" t="s">
        <v>66</v>
      </c>
      <c r="B15" s="42">
        <f t="shared" ref="B15:G15" si="30">B14/B2</f>
        <v>0.13549069746136075</v>
      </c>
      <c r="C15" s="42">
        <f t="shared" si="30"/>
        <v>0.13459828303327148</v>
      </c>
      <c r="D15" s="42">
        <f t="shared" si="30"/>
        <v>7.9319023300590041E-2</v>
      </c>
      <c r="E15" s="43">
        <f t="shared" si="30"/>
        <v>8.4522246535375642E-2</v>
      </c>
      <c r="F15" s="42">
        <f t="shared" si="30"/>
        <v>0.14366158724595102</v>
      </c>
      <c r="G15" s="43">
        <f t="shared" si="30"/>
        <v>0.12548784148904232</v>
      </c>
      <c r="H15" s="43">
        <f t="shared" ref="H15:I15" si="31">H14/H2</f>
        <v>0.12895005096839957</v>
      </c>
      <c r="I15" s="43">
        <f t="shared" si="31"/>
        <v>0.15943563122088369</v>
      </c>
      <c r="J15" s="43">
        <f>J14/J2</f>
        <v>0.13485714285714284</v>
      </c>
      <c r="K15" s="43">
        <f>K14/K2</f>
        <v>0.11209793566970716</v>
      </c>
      <c r="L15" s="43">
        <f>L14/L2</f>
        <v>0.12785281788542152</v>
      </c>
      <c r="M15" s="43">
        <f t="shared" ref="M15:P15" si="32">M14/M2</f>
        <v>0.10509865208048452</v>
      </c>
      <c r="N15" s="43">
        <f t="shared" si="32"/>
        <v>0.13365041617122475</v>
      </c>
      <c r="O15" s="43">
        <f t="shared" si="32"/>
        <v>0.14965652600588814</v>
      </c>
      <c r="P15" s="43">
        <f t="shared" si="32"/>
        <v>0.12811037201281103</v>
      </c>
      <c r="Q15" s="43">
        <f t="shared" ref="Q15:U15" si="33">Q14/Q2</f>
        <v>0.1376940133037694</v>
      </c>
      <c r="R15" s="43">
        <f t="shared" si="33"/>
        <v>0.11830799735624586</v>
      </c>
      <c r="S15" s="43">
        <f t="shared" si="33"/>
        <v>9.7296099290780119E-2</v>
      </c>
      <c r="T15" s="25">
        <f t="shared" si="33"/>
        <v>0.14004739336492891</v>
      </c>
      <c r="U15" s="25">
        <f t="shared" si="33"/>
        <v>0.12352588446931842</v>
      </c>
      <c r="V15" s="25">
        <f t="shared" ref="V15" si="34">V14/V2</f>
        <v>0.14788169464428455</v>
      </c>
      <c r="W15" s="25">
        <f t="shared" ref="W15:AC15" si="35">W14/W2</f>
        <v>0.12534289934585358</v>
      </c>
      <c r="X15" s="25">
        <f t="shared" si="35"/>
        <v>0.10784646739130432</v>
      </c>
      <c r="Y15" s="25">
        <f t="shared" si="35"/>
        <v>0.11360612109115104</v>
      </c>
      <c r="Z15" s="25">
        <f t="shared" si="35"/>
        <v>0.12374934175882044</v>
      </c>
      <c r="AA15" s="25">
        <f t="shared" si="35"/>
        <v>0.101606963508537</v>
      </c>
      <c r="AB15" s="25">
        <f t="shared" si="35"/>
        <v>0.11259869550291797</v>
      </c>
      <c r="AC15" s="25">
        <f t="shared" si="35"/>
        <v>0.10384615384615385</v>
      </c>
      <c r="AD15" s="25">
        <f>AD14/AD2</f>
        <v>0.12389380530973453</v>
      </c>
      <c r="AE15" s="25">
        <f>IFERROR(AE14/AE2,"-")</f>
        <v>0.11934156378600823</v>
      </c>
      <c r="AF15" s="25">
        <f>IFERROR(AF14/AF2,"-")</f>
        <v>0.13911509229098803</v>
      </c>
      <c r="AG15" s="89">
        <f>IFERROR(AG14/AG2,"-")</f>
        <v>0.14092140921409213</v>
      </c>
      <c r="AH15" s="41">
        <f t="shared" si="0"/>
        <v>1.298433472139604E-2</v>
      </c>
      <c r="AI15" s="83">
        <f t="shared" si="1"/>
        <v>0.35702097761718332</v>
      </c>
    </row>
    <row r="16" spans="1:35" ht="39.6" customHeight="1" x14ac:dyDescent="0.3">
      <c r="A16" s="72" t="s">
        <v>196</v>
      </c>
      <c r="B16" s="29">
        <v>4.4339999999999997E-2</v>
      </c>
      <c r="C16" s="29">
        <v>5.2929999999999998E-2</v>
      </c>
      <c r="D16" s="29">
        <v>1.25789</v>
      </c>
      <c r="E16" s="29">
        <v>-0.67600000000000005</v>
      </c>
      <c r="F16" s="29">
        <v>0.26418999999999998</v>
      </c>
      <c r="G16" s="29">
        <v>0.2</v>
      </c>
      <c r="H16" s="29">
        <v>0.3</v>
      </c>
      <c r="I16" s="29">
        <v>1.0358100000000001</v>
      </c>
      <c r="J16" s="29">
        <v>0.05</v>
      </c>
      <c r="K16" s="29">
        <v>0.28999999999999998</v>
      </c>
      <c r="L16" s="29">
        <f>0.65-J16-K16</f>
        <v>0.31</v>
      </c>
      <c r="M16" s="29">
        <v>0.86999999999999988</v>
      </c>
      <c r="N16" s="29">
        <v>0.4</v>
      </c>
      <c r="O16" s="29">
        <v>0.2</v>
      </c>
      <c r="P16" s="29">
        <v>0.1</v>
      </c>
      <c r="Q16" s="29">
        <v>0.31</v>
      </c>
      <c r="R16" s="29">
        <v>0.11</v>
      </c>
      <c r="S16" s="29">
        <v>0.63</v>
      </c>
      <c r="T16" s="1">
        <v>0.28999999999999998</v>
      </c>
      <c r="U16" s="1">
        <v>-1.0000000000000009E-2</v>
      </c>
      <c r="V16" s="1">
        <v>0.34</v>
      </c>
      <c r="W16" s="1">
        <v>0.06</v>
      </c>
      <c r="X16" s="1">
        <v>1.6099999999999997</v>
      </c>
      <c r="Y16" s="1">
        <v>2.06</v>
      </c>
      <c r="Z16" s="1">
        <v>0.28000000000000003</v>
      </c>
      <c r="AA16" s="1">
        <v>0.17</v>
      </c>
      <c r="AB16" s="1">
        <v>0.61</v>
      </c>
      <c r="AC16" s="1">
        <v>0.95</v>
      </c>
      <c r="AD16" s="1">
        <f>0.34+0.18</f>
        <v>0.52</v>
      </c>
      <c r="AE16" s="1">
        <v>0.41</v>
      </c>
      <c r="AF16" s="1">
        <v>2.59</v>
      </c>
      <c r="AG16" s="8">
        <v>3.09</v>
      </c>
      <c r="AH16" s="41">
        <f t="shared" si="0"/>
        <v>0.19305019305019311</v>
      </c>
      <c r="AI16" s="83">
        <f t="shared" si="1"/>
        <v>2.2526315789473683</v>
      </c>
    </row>
    <row r="17" spans="1:35" s="4" customFormat="1" ht="15.6" x14ac:dyDescent="0.3">
      <c r="A17" s="27" t="s">
        <v>67</v>
      </c>
      <c r="B17" s="27">
        <v>0.54974999999999996</v>
      </c>
      <c r="C17" s="27">
        <v>2.0346000000000002</v>
      </c>
      <c r="D17" s="27">
        <v>2.6976900000000001</v>
      </c>
      <c r="E17" s="27">
        <v>4.67</v>
      </c>
      <c r="F17" s="27">
        <v>1.9411799999999999</v>
      </c>
      <c r="G17" s="27">
        <v>2.34</v>
      </c>
      <c r="H17" s="27">
        <v>3</v>
      </c>
      <c r="I17" s="27">
        <v>5.0188200000000016</v>
      </c>
      <c r="J17" s="27">
        <v>2.3199999999999998</v>
      </c>
      <c r="K17" s="27">
        <v>3.49</v>
      </c>
      <c r="L17" s="27">
        <v>4.34</v>
      </c>
      <c r="M17" s="27">
        <v>5.6999999999999993</v>
      </c>
      <c r="N17" s="27">
        <f>1.48+1.98</f>
        <v>3.46</v>
      </c>
      <c r="O17" s="27">
        <v>0.28999999999999998</v>
      </c>
      <c r="P17" s="27">
        <v>2.52</v>
      </c>
      <c r="Q17" s="27">
        <v>-3.66</v>
      </c>
      <c r="R17" s="27">
        <v>3.41</v>
      </c>
      <c r="S17" s="27">
        <v>5.36</v>
      </c>
      <c r="T17" s="4">
        <f>T19+2.44</f>
        <v>6.0299999999999994</v>
      </c>
      <c r="U17" s="4">
        <f>U19+2.54+0.9-0.82+0.13</f>
        <v>4.9799999999999995</v>
      </c>
      <c r="V17" s="4">
        <f>0.57+2.57</f>
        <v>3.1399999999999997</v>
      </c>
      <c r="W17" s="4">
        <v>5.22</v>
      </c>
      <c r="X17" s="4">
        <v>3.12</v>
      </c>
      <c r="Y17" s="4">
        <v>3.12</v>
      </c>
      <c r="Z17" s="4">
        <f>2.27+2.68</f>
        <v>4.95</v>
      </c>
      <c r="AA17" s="4">
        <v>5.45</v>
      </c>
      <c r="AB17" s="4">
        <v>5.65</v>
      </c>
      <c r="AC17" s="4">
        <f>0.72+2.57-0.27+0.71</f>
        <v>3.73</v>
      </c>
      <c r="AD17" s="4">
        <v>4.92</v>
      </c>
      <c r="AE17" s="4">
        <v>6.17</v>
      </c>
      <c r="AF17" s="55">
        <v>7.37</v>
      </c>
      <c r="AG17" s="53">
        <v>7.6</v>
      </c>
      <c r="AH17" s="38">
        <f t="shared" si="0"/>
        <v>3.1207598371777445E-2</v>
      </c>
      <c r="AI17" s="82">
        <f t="shared" si="1"/>
        <v>1.0375335120643432</v>
      </c>
    </row>
    <row r="18" spans="1:35" s="2" customFormat="1" ht="15.6" x14ac:dyDescent="0.3">
      <c r="A18" s="42" t="s">
        <v>155</v>
      </c>
      <c r="B18" s="42">
        <f t="shared" ref="B18:M18" si="36">B17/B2</f>
        <v>2.4933307088542606E-2</v>
      </c>
      <c r="C18" s="42">
        <f t="shared" si="36"/>
        <v>6.5342495713364007E-2</v>
      </c>
      <c r="D18" s="42">
        <f t="shared" si="36"/>
        <v>8.0778472967692388E-2</v>
      </c>
      <c r="E18" s="43">
        <f t="shared" si="36"/>
        <v>0.1362509117432531</v>
      </c>
      <c r="F18" s="42">
        <f t="shared" si="36"/>
        <v>6.3707888510702818E-2</v>
      </c>
      <c r="G18" s="43">
        <f t="shared" si="36"/>
        <v>7.0249174422095453E-2</v>
      </c>
      <c r="H18" s="43">
        <f t="shared" si="36"/>
        <v>7.64525993883792E-2</v>
      </c>
      <c r="I18" s="43">
        <f t="shared" si="36"/>
        <v>0.1277703991268837</v>
      </c>
      <c r="J18" s="43">
        <f t="shared" si="36"/>
        <v>6.6285714285714281E-2</v>
      </c>
      <c r="K18" s="43">
        <f t="shared" si="36"/>
        <v>8.3773403744599143E-2</v>
      </c>
      <c r="L18" s="43">
        <f t="shared" si="36"/>
        <v>0.10107126222636237</v>
      </c>
      <c r="M18" s="43">
        <f t="shared" si="36"/>
        <v>0.11134987302207462</v>
      </c>
      <c r="N18" s="43">
        <f t="shared" ref="N18:P18" si="37">N17/N2</f>
        <v>8.2282996432818084E-2</v>
      </c>
      <c r="O18" s="43">
        <f t="shared" si="37"/>
        <v>7.1148184494602548E-3</v>
      </c>
      <c r="P18" s="43">
        <f t="shared" si="37"/>
        <v>6.2084257206208422E-2</v>
      </c>
      <c r="Q18" s="43">
        <f t="shared" ref="Q18:U18" si="38">Q17/Q2</f>
        <v>-8.1152993348115293E-2</v>
      </c>
      <c r="R18" s="43">
        <f t="shared" si="38"/>
        <v>7.5126679885437322E-2</v>
      </c>
      <c r="S18" s="43">
        <f t="shared" si="38"/>
        <v>0.11879432624113474</v>
      </c>
      <c r="T18" s="25">
        <f t="shared" si="38"/>
        <v>0.14289099526066348</v>
      </c>
      <c r="U18" s="25">
        <f t="shared" si="38"/>
        <v>9.9540275834499287E-2</v>
      </c>
      <c r="V18" s="25">
        <f t="shared" ref="V18" si="39">V17/V2</f>
        <v>8.3666400213162795E-2</v>
      </c>
      <c r="W18" s="25">
        <f t="shared" ref="W18:AC18" si="40">W17/W2</f>
        <v>0.11014982063726524</v>
      </c>
      <c r="X18" s="25">
        <f t="shared" si="40"/>
        <v>5.2989130434782601E-2</v>
      </c>
      <c r="Y18" s="25">
        <f t="shared" si="40"/>
        <v>5.1896207584830344E-2</v>
      </c>
      <c r="Z18" s="25">
        <f t="shared" si="40"/>
        <v>8.6887835703001584E-2</v>
      </c>
      <c r="AA18" s="25">
        <f t="shared" si="40"/>
        <v>9.1228657515902242E-2</v>
      </c>
      <c r="AB18" s="25">
        <f t="shared" si="40"/>
        <v>9.6979059388946118E-2</v>
      </c>
      <c r="AC18" s="25">
        <f t="shared" si="40"/>
        <v>5.7384615384615381E-2</v>
      </c>
      <c r="AD18" s="25">
        <f>IFERROR(AD17/AD2,"-")</f>
        <v>7.9163314561544657E-2</v>
      </c>
      <c r="AE18" s="25">
        <f>IFERROR(AE17/AE2,"-")</f>
        <v>9.4040542600213384E-2</v>
      </c>
      <c r="AF18" s="25">
        <f>IFERROR(AF17/AF2,"-")</f>
        <v>0.10002714440825189</v>
      </c>
      <c r="AG18" s="89">
        <f>IFERROR(AG17/AG2,"-")</f>
        <v>0.11442336645588677</v>
      </c>
      <c r="AH18" s="41">
        <f t="shared" si="0"/>
        <v>0.14392315338802408</v>
      </c>
      <c r="AI18" s="83">
        <f t="shared" si="1"/>
        <v>0.99397287389615019</v>
      </c>
    </row>
    <row r="19" spans="1:35" s="4" customFormat="1" ht="15.6" x14ac:dyDescent="0.3">
      <c r="A19" s="27" t="s">
        <v>149</v>
      </c>
      <c r="B19" s="27">
        <v>-0.47969000000000001</v>
      </c>
      <c r="C19" s="27">
        <v>1.02701</v>
      </c>
      <c r="D19" s="27">
        <v>1.5698700000000001</v>
      </c>
      <c r="E19" s="27">
        <v>3.3780000000000001</v>
      </c>
      <c r="F19" s="27">
        <v>0.70640999999999998</v>
      </c>
      <c r="G19" s="27">
        <v>1.1200000000000001</v>
      </c>
      <c r="H19" s="27">
        <v>1.72</v>
      </c>
      <c r="I19" s="27">
        <v>3.7135899999999999</v>
      </c>
      <c r="J19" s="27">
        <v>0.81</v>
      </c>
      <c r="K19" s="27">
        <v>1.89</v>
      </c>
      <c r="L19" s="27">
        <f>5.36-J19-K19</f>
        <v>2.660000000000001</v>
      </c>
      <c r="M19" s="27">
        <v>3.6499999999999986</v>
      </c>
      <c r="N19" s="27">
        <v>1.48</v>
      </c>
      <c r="O19" s="27">
        <v>-1.8</v>
      </c>
      <c r="P19" s="27">
        <v>0.54</v>
      </c>
      <c r="Q19" s="27">
        <v>-5.9</v>
      </c>
      <c r="R19" s="27">
        <v>1.1100000000000001</v>
      </c>
      <c r="S19" s="27">
        <v>3.11</v>
      </c>
      <c r="T19" s="4">
        <v>3.59</v>
      </c>
      <c r="U19" s="4">
        <v>2.23</v>
      </c>
      <c r="V19" s="4">
        <v>0.56999999999999995</v>
      </c>
      <c r="W19" s="4">
        <v>2.62</v>
      </c>
      <c r="X19" s="4">
        <v>0.96000000000000041</v>
      </c>
      <c r="Y19" s="4">
        <v>0.2</v>
      </c>
      <c r="Z19" s="4">
        <v>2.27</v>
      </c>
      <c r="AA19" s="4">
        <v>2.4500000000000002</v>
      </c>
      <c r="AB19" s="4">
        <f>AB9+AB11-AB12-AB14-AB16</f>
        <v>2.7699999999999991</v>
      </c>
      <c r="AC19" s="4">
        <f>0.72+0.24</f>
        <v>0.96</v>
      </c>
      <c r="AD19" s="4">
        <v>1.99</v>
      </c>
      <c r="AE19" s="4">
        <v>3.08</v>
      </c>
      <c r="AF19" s="77">
        <v>4.33</v>
      </c>
      <c r="AG19" s="75">
        <v>4.5199999999999996</v>
      </c>
      <c r="AH19" s="38">
        <f t="shared" si="0"/>
        <v>4.387990762124705E-2</v>
      </c>
      <c r="AI19" s="82">
        <f t="shared" si="1"/>
        <v>3.708333333333333</v>
      </c>
    </row>
    <row r="20" spans="1:35" s="2" customFormat="1" ht="15.6" x14ac:dyDescent="0.3">
      <c r="A20" s="42" t="s">
        <v>154</v>
      </c>
      <c r="B20" s="42">
        <f t="shared" ref="B20:G20" si="41">B19/B2</f>
        <v>-2.1755812782724881E-2</v>
      </c>
      <c r="C20" s="42">
        <f t="shared" si="41"/>
        <v>3.2983090790613366E-2</v>
      </c>
      <c r="D20" s="42">
        <f t="shared" si="41"/>
        <v>4.7007514339227729E-2</v>
      </c>
      <c r="E20" s="43">
        <f t="shared" si="41"/>
        <v>9.8555798687089718E-2</v>
      </c>
      <c r="F20" s="42">
        <f t="shared" si="41"/>
        <v>2.3183779723078529E-2</v>
      </c>
      <c r="G20" s="43">
        <f t="shared" si="41"/>
        <v>3.3623536475532873E-2</v>
      </c>
      <c r="H20" s="43">
        <f t="shared" ref="H20:I20" si="42">H19/H2</f>
        <v>4.383282364933741E-2</v>
      </c>
      <c r="I20" s="43">
        <f t="shared" si="42"/>
        <v>9.4541521013625493E-2</v>
      </c>
      <c r="J20" s="43">
        <f>J19/J2</f>
        <v>2.3142857142857146E-2</v>
      </c>
      <c r="K20" s="43">
        <f>K19/K2</f>
        <v>4.5367258761401824E-2</v>
      </c>
      <c r="L20" s="43">
        <f>L19/L2</f>
        <v>6.1946902654867284E-2</v>
      </c>
      <c r="M20" s="43">
        <f t="shared" ref="M20:P20" si="43">M19/M2</f>
        <v>7.130298886501267E-2</v>
      </c>
      <c r="N20" s="43">
        <f t="shared" si="43"/>
        <v>3.5196195005945306E-2</v>
      </c>
      <c r="O20" s="43">
        <f t="shared" si="43"/>
        <v>-4.416094210009814E-2</v>
      </c>
      <c r="P20" s="43">
        <f t="shared" si="43"/>
        <v>1.3303769401330377E-2</v>
      </c>
      <c r="Q20" s="43">
        <f t="shared" ref="Q20:U20" si="44">Q19/Q2</f>
        <v>-0.13082039911308205</v>
      </c>
      <c r="R20" s="43">
        <f t="shared" si="44"/>
        <v>2.4454725710508926E-2</v>
      </c>
      <c r="S20" s="43">
        <f t="shared" si="44"/>
        <v>6.8927304964538999E-2</v>
      </c>
      <c r="T20" s="25">
        <f t="shared" si="44"/>
        <v>8.5071090047393355E-2</v>
      </c>
      <c r="U20" s="25">
        <f t="shared" si="44"/>
        <v>4.4573256046372176E-2</v>
      </c>
      <c r="V20" s="25">
        <f t="shared" ref="V20" si="45">V19/V2</f>
        <v>1.518784972022382E-2</v>
      </c>
      <c r="W20" s="25">
        <f t="shared" ref="W20:AC20" si="46">W19/W2</f>
        <v>5.5285925300696349E-2</v>
      </c>
      <c r="X20" s="25">
        <f t="shared" si="46"/>
        <v>1.630434782608696E-2</v>
      </c>
      <c r="Y20" s="25">
        <f t="shared" si="46"/>
        <v>3.3266799733865605E-3</v>
      </c>
      <c r="Z20" s="25">
        <f t="shared" si="46"/>
        <v>3.9845532736528001E-2</v>
      </c>
      <c r="AA20" s="25">
        <f t="shared" si="46"/>
        <v>4.1011047874121194E-2</v>
      </c>
      <c r="AB20" s="25">
        <f t="shared" si="46"/>
        <v>4.7545485753518697E-2</v>
      </c>
      <c r="AC20" s="25">
        <f t="shared" si="46"/>
        <v>1.4769230769230769E-2</v>
      </c>
      <c r="AD20" s="25">
        <f>IFERROR(AD19/AD2,"-")</f>
        <v>3.201930812550282E-2</v>
      </c>
      <c r="AE20" s="25">
        <f>IFERROR(AE19/AE2,"-")</f>
        <v>4.6944063404968754E-2</v>
      </c>
      <c r="AF20" s="25">
        <f>IFERROR(AF19/AF2,"-")</f>
        <v>5.8767643865363733E-2</v>
      </c>
      <c r="AG20" s="89">
        <f>IFERROR(AG19/AG2,"-")</f>
        <v>6.80517916290274E-2</v>
      </c>
      <c r="AH20" s="41">
        <f t="shared" si="0"/>
        <v>0.15798060213088649</v>
      </c>
      <c r="AI20" s="83">
        <f t="shared" si="1"/>
        <v>3.6076733915487305</v>
      </c>
    </row>
    <row r="21" spans="1:35" x14ac:dyDescent="0.25">
      <c r="A21" s="29" t="s">
        <v>16</v>
      </c>
      <c r="B21" s="29">
        <v>5.79E-3</v>
      </c>
      <c r="C21" s="29">
        <v>0.90966999999999998</v>
      </c>
      <c r="D21" s="29">
        <v>-0.11751</v>
      </c>
      <c r="E21" s="29">
        <v>-0.76600000000000001</v>
      </c>
      <c r="F21" s="29">
        <v>0.27355000000000002</v>
      </c>
      <c r="G21" s="29">
        <v>0.55000000000000004</v>
      </c>
      <c r="H21" s="29">
        <v>0.2</v>
      </c>
      <c r="I21" s="29">
        <v>1.12645</v>
      </c>
      <c r="J21" s="29">
        <v>0.41</v>
      </c>
      <c r="K21" s="29">
        <v>0.1</v>
      </c>
      <c r="L21" s="29">
        <v>0</v>
      </c>
      <c r="M21" s="29">
        <v>-0.23999999999999996</v>
      </c>
      <c r="N21" s="29">
        <v>0</v>
      </c>
      <c r="O21" s="29">
        <v>0.1</v>
      </c>
      <c r="P21" s="29">
        <v>1.33</v>
      </c>
      <c r="Q21" s="29">
        <v>1.86</v>
      </c>
      <c r="R21" s="29">
        <v>2.64</v>
      </c>
      <c r="S21" s="29">
        <v>0.13</v>
      </c>
      <c r="T21" s="1">
        <v>0.1</v>
      </c>
      <c r="U21" s="1">
        <f>0.53-2.11-0.14</f>
        <v>-1.7199999999999998</v>
      </c>
      <c r="V21" s="1">
        <v>0.01</v>
      </c>
      <c r="W21" s="1">
        <v>0</v>
      </c>
      <c r="X21" s="1">
        <v>0</v>
      </c>
      <c r="Y21" s="1">
        <v>0.24</v>
      </c>
      <c r="Z21" s="1">
        <v>0.23</v>
      </c>
      <c r="AA21" s="1">
        <v>0.12</v>
      </c>
      <c r="AB21" s="1">
        <v>0.03</v>
      </c>
      <c r="AC21" s="1">
        <f>1.18-0.07</f>
        <v>1.1099999999999999</v>
      </c>
      <c r="AD21" s="1">
        <v>0.61</v>
      </c>
      <c r="AE21" s="1">
        <v>0.66</v>
      </c>
      <c r="AF21" s="1">
        <v>3.14</v>
      </c>
      <c r="AG21" s="8">
        <v>0.49</v>
      </c>
      <c r="AH21" s="41">
        <f t="shared" si="0"/>
        <v>-0.8439490445859873</v>
      </c>
      <c r="AI21" s="83">
        <f t="shared" si="1"/>
        <v>-0.55855855855855852</v>
      </c>
    </row>
    <row r="22" spans="1:35" ht="31.65" customHeight="1" x14ac:dyDescent="0.25">
      <c r="A22" s="51" t="s">
        <v>185</v>
      </c>
      <c r="B22" s="29">
        <v>0.31764999999999999</v>
      </c>
      <c r="C22" s="29">
        <v>0.45889999999999997</v>
      </c>
      <c r="D22" s="29">
        <v>0.22414999999999999</v>
      </c>
      <c r="E22" s="29">
        <v>0.56599999999999995</v>
      </c>
      <c r="F22" s="29">
        <v>0.15847</v>
      </c>
      <c r="G22" s="29">
        <v>0.18</v>
      </c>
      <c r="H22" s="29">
        <v>0.19</v>
      </c>
      <c r="I22" s="29">
        <v>0.21153</v>
      </c>
      <c r="J22" s="29">
        <v>0.23</v>
      </c>
      <c r="K22" s="29">
        <v>0.26</v>
      </c>
      <c r="L22" s="29">
        <f>0.82-J22-K22+0.26</f>
        <v>0.59</v>
      </c>
      <c r="M22" s="29">
        <v>3.1500000000000004</v>
      </c>
      <c r="N22" s="29">
        <v>0.4</v>
      </c>
      <c r="O22" s="29">
        <v>0.33</v>
      </c>
      <c r="P22" s="29">
        <v>0.78</v>
      </c>
      <c r="Q22" s="29">
        <v>1.05</v>
      </c>
      <c r="R22" s="29">
        <v>0.43</v>
      </c>
      <c r="S22" s="29">
        <v>0.31</v>
      </c>
      <c r="T22" s="1">
        <f>2.05+0.6+0.1</f>
        <v>2.75</v>
      </c>
      <c r="U22" s="1">
        <f>0.21-1.02-0.14</f>
        <v>-0.95000000000000007</v>
      </c>
      <c r="V22" s="1">
        <v>1.05</v>
      </c>
      <c r="W22" s="1">
        <v>0.82</v>
      </c>
      <c r="X22" s="1">
        <v>0.96999999999999986</v>
      </c>
      <c r="Y22" s="1">
        <v>0.25</v>
      </c>
      <c r="Z22" s="1">
        <v>1.2</v>
      </c>
      <c r="AA22" s="1">
        <v>1.7</v>
      </c>
      <c r="AB22" s="1">
        <f>1.75-0.23</f>
        <v>1.52</v>
      </c>
      <c r="AC22" s="1">
        <f>1.74+0.3</f>
        <v>2.04</v>
      </c>
      <c r="AD22" s="1">
        <v>1.0900000000000001</v>
      </c>
      <c r="AE22" s="1">
        <v>1.82</v>
      </c>
      <c r="AF22" s="1">
        <v>4.82</v>
      </c>
      <c r="AG22" s="8">
        <v>2.38</v>
      </c>
      <c r="AH22" s="41">
        <f t="shared" si="0"/>
        <v>-0.50622406639004147</v>
      </c>
      <c r="AI22" s="83">
        <f t="shared" si="1"/>
        <v>0.16666666666666652</v>
      </c>
    </row>
    <row r="23" spans="1:35" x14ac:dyDescent="0.25">
      <c r="A23" s="29" t="s">
        <v>150</v>
      </c>
      <c r="B23" s="29">
        <v>-0.79154999999999998</v>
      </c>
      <c r="C23" s="29">
        <v>1.4777800000000001</v>
      </c>
      <c r="D23" s="29">
        <v>1.22821</v>
      </c>
      <c r="E23" s="29">
        <v>2.0459999999999998</v>
      </c>
      <c r="F23" s="29">
        <v>0.82149000000000005</v>
      </c>
      <c r="G23" s="29">
        <v>1.49</v>
      </c>
      <c r="H23" s="29">
        <v>1.73</v>
      </c>
      <c r="I23" s="29">
        <v>4.6285100000000003</v>
      </c>
      <c r="J23" s="29">
        <v>0.99</v>
      </c>
      <c r="K23" s="29">
        <v>1.73</v>
      </c>
      <c r="L23" s="29">
        <f>4.79-J23-K23</f>
        <v>2.0699999999999998</v>
      </c>
      <c r="M23" s="29">
        <v>0.25</v>
      </c>
      <c r="N23" s="29">
        <v>1.08</v>
      </c>
      <c r="O23" s="29">
        <v>-2.0299999999999998</v>
      </c>
      <c r="P23" s="29">
        <v>1.08</v>
      </c>
      <c r="Q23" s="29">
        <v>-5.07</v>
      </c>
      <c r="R23" s="29">
        <v>3.3109999999999999</v>
      </c>
      <c r="S23" s="29">
        <v>2.95</v>
      </c>
      <c r="T23" s="1">
        <v>0.94</v>
      </c>
      <c r="U23" s="1">
        <v>1.45</v>
      </c>
      <c r="V23" s="1">
        <v>-0.48</v>
      </c>
      <c r="W23" s="1">
        <v>1.79</v>
      </c>
      <c r="X23" s="1">
        <v>1.0000000000000009E-2</v>
      </c>
      <c r="Y23" s="1">
        <v>0.18</v>
      </c>
      <c r="Z23" s="1">
        <v>1.3</v>
      </c>
      <c r="AA23" s="1">
        <v>0.87</v>
      </c>
      <c r="AB23" s="1">
        <v>0.81</v>
      </c>
      <c r="AC23" s="1">
        <f>0.16+0.32</f>
        <v>0.48</v>
      </c>
      <c r="AD23" s="1">
        <v>1.51</v>
      </c>
      <c r="AE23" s="1">
        <v>1.91</v>
      </c>
      <c r="AF23" s="1">
        <v>2.65</v>
      </c>
      <c r="AG23" s="8">
        <v>2.64</v>
      </c>
      <c r="AH23" s="41">
        <f t="shared" si="0"/>
        <v>-3.7735849056602655E-3</v>
      </c>
      <c r="AI23" s="83">
        <f t="shared" si="1"/>
        <v>4.5000000000000009</v>
      </c>
    </row>
    <row r="24" spans="1:35" x14ac:dyDescent="0.25">
      <c r="A24" s="29" t="s">
        <v>17</v>
      </c>
      <c r="B24" s="29">
        <v>-3.9579999999999997E-2</v>
      </c>
      <c r="C24" s="29">
        <v>-2.2599999999999999E-3</v>
      </c>
      <c r="D24" s="29">
        <v>4.7910000000000001E-2</v>
      </c>
      <c r="E24" s="29">
        <v>0.82199999999999995</v>
      </c>
      <c r="F24" s="29">
        <v>1.49E-3</v>
      </c>
      <c r="G24" s="29">
        <v>0</v>
      </c>
      <c r="H24" s="29">
        <v>0.03</v>
      </c>
      <c r="I24" s="29">
        <v>1.64</v>
      </c>
      <c r="J24" s="29">
        <v>-0.01</v>
      </c>
      <c r="K24" s="29">
        <v>0.2</v>
      </c>
      <c r="L24" s="29">
        <f>-0.11-J24-K24</f>
        <v>-0.30000000000000004</v>
      </c>
      <c r="M24" s="29">
        <v>1.55</v>
      </c>
      <c r="N24" s="29">
        <v>0.01</v>
      </c>
      <c r="O24" s="29">
        <v>-0.13</v>
      </c>
      <c r="P24" s="29">
        <v>-0.62</v>
      </c>
      <c r="Q24" s="29">
        <v>-0.14000000000000001</v>
      </c>
      <c r="R24" s="29">
        <v>0.53</v>
      </c>
      <c r="S24" s="29">
        <v>0.05</v>
      </c>
      <c r="T24" s="1">
        <v>-0.38</v>
      </c>
      <c r="U24" s="1">
        <v>0.79</v>
      </c>
      <c r="V24" s="1">
        <v>-0.35</v>
      </c>
      <c r="W24" s="1">
        <v>0.76</v>
      </c>
      <c r="X24" s="1">
        <v>-0.22</v>
      </c>
      <c r="Y24" s="1">
        <v>-3.18</v>
      </c>
      <c r="Z24" s="1">
        <v>0.24</v>
      </c>
      <c r="AA24" s="1">
        <v>0.15</v>
      </c>
      <c r="AB24" s="1">
        <v>-7.0000000000000007E-2</v>
      </c>
      <c r="AC24" s="1">
        <f>-0.05+0.26</f>
        <v>0.21000000000000002</v>
      </c>
      <c r="AD24" s="1">
        <v>0.31</v>
      </c>
      <c r="AE24" s="1">
        <v>-0.08</v>
      </c>
      <c r="AF24" s="1">
        <v>0.62</v>
      </c>
      <c r="AG24" s="8">
        <v>0.25</v>
      </c>
      <c r="AH24" s="41">
        <f t="shared" si="0"/>
        <v>-0.59677419354838701</v>
      </c>
      <c r="AI24" s="83">
        <f t="shared" si="1"/>
        <v>0.19047619047619047</v>
      </c>
    </row>
    <row r="25" spans="1:35" x14ac:dyDescent="0.25">
      <c r="A25" s="29" t="s">
        <v>151</v>
      </c>
      <c r="B25" s="29">
        <v>-0.72724</v>
      </c>
      <c r="C25" s="29">
        <v>1.25088</v>
      </c>
      <c r="D25" s="29">
        <v>1.2783100000000001</v>
      </c>
      <c r="E25" s="29">
        <v>1.224</v>
      </c>
      <c r="F25" s="29">
        <v>0.84189999999999998</v>
      </c>
      <c r="G25" s="29">
        <v>1.3</v>
      </c>
      <c r="H25" s="29">
        <v>1.7</v>
      </c>
      <c r="I25" s="29">
        <v>3.1581000000000001</v>
      </c>
      <c r="J25" s="29">
        <v>1</v>
      </c>
      <c r="K25" s="29">
        <v>1.53</v>
      </c>
      <c r="L25" s="29">
        <f>L23-L24</f>
        <v>2.37</v>
      </c>
      <c r="M25" s="29">
        <v>-1.3</v>
      </c>
      <c r="N25" s="29">
        <v>1.07</v>
      </c>
      <c r="O25" s="29">
        <v>-1.9</v>
      </c>
      <c r="P25" s="29">
        <v>1.71</v>
      </c>
      <c r="Q25" s="29">
        <v>-5.73</v>
      </c>
      <c r="R25" s="29">
        <v>2.78</v>
      </c>
      <c r="S25" s="29">
        <v>2.9</v>
      </c>
      <c r="T25" s="1">
        <v>1.32</v>
      </c>
      <c r="U25" s="1">
        <v>1.5</v>
      </c>
      <c r="V25" s="1">
        <v>-0.13</v>
      </c>
      <c r="W25" s="1">
        <v>1.02</v>
      </c>
      <c r="X25" s="1">
        <v>0.23999999999999977</v>
      </c>
      <c r="Y25" s="1">
        <v>3.36</v>
      </c>
      <c r="Z25" s="1">
        <v>1.06</v>
      </c>
      <c r="AA25" s="1">
        <v>0.72</v>
      </c>
      <c r="AB25" s="1">
        <v>0.88</v>
      </c>
      <c r="AC25" s="1">
        <f>0.21+0.06</f>
        <v>0.27</v>
      </c>
      <c r="AD25" s="1">
        <v>1.2</v>
      </c>
      <c r="AE25" s="1">
        <v>1.99</v>
      </c>
      <c r="AF25" s="1">
        <v>2.0299999999999998</v>
      </c>
      <c r="AG25" s="8">
        <v>2.39</v>
      </c>
      <c r="AH25" s="41">
        <f t="shared" si="0"/>
        <v>0.17733990147783274</v>
      </c>
      <c r="AI25" s="83">
        <f t="shared" si="1"/>
        <v>7.8518518518518512</v>
      </c>
    </row>
    <row r="26" spans="1:35" s="4" customFormat="1" ht="31.2" x14ac:dyDescent="0.3">
      <c r="A26" s="71" t="s">
        <v>152</v>
      </c>
      <c r="B26" s="27">
        <v>-0.73</v>
      </c>
      <c r="C26" s="27">
        <v>1.25088</v>
      </c>
      <c r="D26" s="27">
        <v>1.2783100000000001</v>
      </c>
      <c r="E26" s="27">
        <v>1.21</v>
      </c>
      <c r="F26" s="27">
        <v>0.84189999999999998</v>
      </c>
      <c r="G26" s="27">
        <v>1.3</v>
      </c>
      <c r="H26" s="27">
        <v>2.12</v>
      </c>
      <c r="I26" s="27">
        <v>2.83</v>
      </c>
      <c r="J26" s="27">
        <v>1.1399999999999999</v>
      </c>
      <c r="K26" s="27">
        <v>1.43</v>
      </c>
      <c r="L26" s="27">
        <f>5.01-J26-K26</f>
        <v>2.4400000000000004</v>
      </c>
      <c r="M26" s="27">
        <v>-0.86</v>
      </c>
      <c r="N26" s="27">
        <v>1.3</v>
      </c>
      <c r="O26" s="27">
        <v>-2.04</v>
      </c>
      <c r="P26" s="27">
        <v>1.1599999999999999</v>
      </c>
      <c r="Q26" s="27">
        <v>-6.22</v>
      </c>
      <c r="R26" s="27">
        <v>1.91</v>
      </c>
      <c r="S26" s="27">
        <v>2.7</v>
      </c>
      <c r="T26" s="4">
        <v>1.81</v>
      </c>
      <c r="U26" s="4">
        <v>0.49</v>
      </c>
      <c r="V26" s="4">
        <v>0.77</v>
      </c>
      <c r="W26" s="4">
        <v>0.78</v>
      </c>
      <c r="X26" s="4">
        <v>0.74999999999999978</v>
      </c>
      <c r="Y26" s="4">
        <v>2.11</v>
      </c>
      <c r="Z26" s="4">
        <v>0.84</v>
      </c>
      <c r="AA26" s="4">
        <v>0.85</v>
      </c>
      <c r="AB26" s="4">
        <v>0.74299999999999999</v>
      </c>
      <c r="AC26" s="4">
        <f>0.67-0.01</f>
        <v>0.66</v>
      </c>
      <c r="AD26" s="4">
        <v>0.93</v>
      </c>
      <c r="AE26" s="4">
        <v>2.0699999999999998</v>
      </c>
      <c r="AF26" s="4">
        <v>1.81</v>
      </c>
      <c r="AG26" s="7">
        <v>2.4500000000000002</v>
      </c>
      <c r="AH26" s="38">
        <f t="shared" si="0"/>
        <v>0.35359116022099446</v>
      </c>
      <c r="AI26" s="82">
        <f t="shared" si="1"/>
        <v>2.7121212121212124</v>
      </c>
    </row>
    <row r="27" spans="1:35" s="2" customFormat="1" ht="15.6" x14ac:dyDescent="0.3">
      <c r="A27" s="44" t="s">
        <v>156</v>
      </c>
      <c r="B27" s="44">
        <f t="shared" ref="B27:M27" si="47">B26/B2</f>
        <v>-3.3108347748314879E-2</v>
      </c>
      <c r="C27" s="44">
        <f t="shared" si="47"/>
        <v>4.0172820720501698E-2</v>
      </c>
      <c r="D27" s="44">
        <f t="shared" si="47"/>
        <v>3.8277166679392689E-2</v>
      </c>
      <c r="E27" s="45">
        <f t="shared" si="47"/>
        <v>3.5302698760029179E-2</v>
      </c>
      <c r="F27" s="44">
        <f t="shared" si="47"/>
        <v>2.7630447118330452E-2</v>
      </c>
      <c r="G27" s="45">
        <f t="shared" si="47"/>
        <v>3.9027319123386368E-2</v>
      </c>
      <c r="H27" s="45">
        <f t="shared" si="47"/>
        <v>5.4026503567787973E-2</v>
      </c>
      <c r="I27" s="45">
        <f t="shared" si="47"/>
        <v>7.2046861519058425E-2</v>
      </c>
      <c r="J27" s="45">
        <f t="shared" si="47"/>
        <v>3.2571428571428571E-2</v>
      </c>
      <c r="K27" s="45">
        <f t="shared" si="47"/>
        <v>3.4325492078732596E-2</v>
      </c>
      <c r="L27" s="45">
        <f t="shared" si="47"/>
        <v>5.6823474615742907E-2</v>
      </c>
      <c r="M27" s="45">
        <f t="shared" si="47"/>
        <v>-1.6800156280523539E-2</v>
      </c>
      <c r="N27" s="45">
        <f t="shared" ref="N27:P27" si="48">N26/N2</f>
        <v>3.0915576694411417E-2</v>
      </c>
      <c r="O27" s="45">
        <f t="shared" si="48"/>
        <v>-5.0049067713444556E-2</v>
      </c>
      <c r="P27" s="45">
        <f t="shared" si="48"/>
        <v>2.8578467602857843E-2</v>
      </c>
      <c r="Q27" s="45">
        <f t="shared" ref="Q27:U27" si="49">Q26/Q2</f>
        <v>-0.13791574279379157</v>
      </c>
      <c r="R27" s="45">
        <f t="shared" si="49"/>
        <v>4.2079753249614452E-2</v>
      </c>
      <c r="S27" s="45">
        <f t="shared" si="49"/>
        <v>5.984042553191489E-2</v>
      </c>
      <c r="T27" s="57">
        <f t="shared" si="49"/>
        <v>4.2890995260663506E-2</v>
      </c>
      <c r="U27" s="57">
        <f t="shared" si="49"/>
        <v>9.7941235258844697E-3</v>
      </c>
      <c r="V27" s="57">
        <f t="shared" ref="V27" si="50">V26/V2</f>
        <v>2.0516919797495339E-2</v>
      </c>
      <c r="W27" s="57">
        <f t="shared" ref="W27:AC27" si="51">W26/W2</f>
        <v>1.6459168600970669E-2</v>
      </c>
      <c r="X27" s="57">
        <f t="shared" si="51"/>
        <v>1.2737771739130429E-2</v>
      </c>
      <c r="Y27" s="57">
        <f t="shared" si="51"/>
        <v>3.5096473719228208E-2</v>
      </c>
      <c r="Z27" s="57">
        <f t="shared" si="51"/>
        <v>1.474460242232754E-2</v>
      </c>
      <c r="AA27" s="57">
        <f t="shared" si="51"/>
        <v>1.4228322731837963E-2</v>
      </c>
      <c r="AB27" s="57">
        <f t="shared" si="51"/>
        <v>1.2753175420528664E-2</v>
      </c>
      <c r="AC27" s="57">
        <f t="shared" si="51"/>
        <v>1.0153846153846154E-2</v>
      </c>
      <c r="AD27" s="57">
        <f>IFERROR(AD26/AD2,"-")</f>
        <v>1.4963797264682221E-2</v>
      </c>
      <c r="AE27" s="57">
        <f>IFERROR(AE26/AE2,"-")</f>
        <v>3.1550068587105622E-2</v>
      </c>
      <c r="AF27" s="57">
        <f>IFERROR(AF26/AF2,"-")</f>
        <v>2.4565689467969595E-2</v>
      </c>
      <c r="AG27" s="90">
        <f>IFERROR(AG26/AG2,"-")</f>
        <v>3.6886479975910873E-2</v>
      </c>
      <c r="AH27" s="41">
        <f t="shared" si="0"/>
        <v>0.50154466553873678</v>
      </c>
      <c r="AI27" s="83">
        <f t="shared" si="1"/>
        <v>2.6327593915669798</v>
      </c>
    </row>
    <row r="28" spans="1:35" x14ac:dyDescent="0.25">
      <c r="A28" s="46" t="s">
        <v>153</v>
      </c>
      <c r="B28" s="46">
        <f t="shared" ref="B28:Z28" si="52">B26*1000000/7198570</f>
        <v>-0.10140902984898389</v>
      </c>
      <c r="C28" s="46">
        <f t="shared" si="52"/>
        <v>0.17376784555821503</v>
      </c>
      <c r="D28" s="46">
        <f t="shared" si="52"/>
        <v>0.1775783245839104</v>
      </c>
      <c r="E28" s="46">
        <f t="shared" si="52"/>
        <v>0.16808893988667192</v>
      </c>
      <c r="F28" s="46">
        <f t="shared" si="52"/>
        <v>0.11695378387651992</v>
      </c>
      <c r="G28" s="46">
        <f t="shared" si="52"/>
        <v>0.18059142301873846</v>
      </c>
      <c r="H28" s="46">
        <f t="shared" si="52"/>
        <v>0.29450293599978883</v>
      </c>
      <c r="I28" s="46">
        <f t="shared" si="52"/>
        <v>0.39313363626386905</v>
      </c>
      <c r="J28" s="46">
        <f t="shared" si="52"/>
        <v>0.15836478633950909</v>
      </c>
      <c r="K28" s="46">
        <f t="shared" si="52"/>
        <v>0.19865056532061229</v>
      </c>
      <c r="L28" s="46">
        <f t="shared" si="52"/>
        <v>0.33895620935824761</v>
      </c>
      <c r="M28" s="46">
        <f t="shared" si="52"/>
        <v>-0.11946817215085774</v>
      </c>
      <c r="N28" s="46">
        <f t="shared" si="52"/>
        <v>0.18059142301873846</v>
      </c>
      <c r="O28" s="46">
        <f t="shared" si="52"/>
        <v>-0.28338961766017418</v>
      </c>
      <c r="P28" s="46">
        <f t="shared" si="52"/>
        <v>0.16114311592441277</v>
      </c>
      <c r="Q28" s="46">
        <f t="shared" si="52"/>
        <v>-0.86406050090504083</v>
      </c>
      <c r="R28" s="46">
        <f t="shared" si="52"/>
        <v>0.26533047535830034</v>
      </c>
      <c r="S28" s="46">
        <f t="shared" si="52"/>
        <v>0.37507449396199521</v>
      </c>
      <c r="T28" s="46">
        <f t="shared" si="52"/>
        <v>0.25143882743378199</v>
      </c>
      <c r="U28" s="46">
        <f t="shared" si="52"/>
        <v>6.8069074830139881E-2</v>
      </c>
      <c r="V28" s="46">
        <f t="shared" si="52"/>
        <v>0.10696568901879124</v>
      </c>
      <c r="W28" s="46">
        <f t="shared" si="52"/>
        <v>0.10835485381124306</v>
      </c>
      <c r="X28" s="46">
        <f t="shared" si="52"/>
        <v>0.10418735943388753</v>
      </c>
      <c r="Y28" s="46">
        <f t="shared" si="52"/>
        <v>0.293113771207337</v>
      </c>
      <c r="Z28" s="46">
        <f t="shared" si="52"/>
        <v>0.11668984256595408</v>
      </c>
      <c r="AA28" s="46">
        <f t="shared" ref="AA28:AG28" si="53">AA26*1000000/7198570</f>
        <v>0.1180790073584059</v>
      </c>
      <c r="AB28" s="46">
        <f t="shared" si="53"/>
        <v>0.10321494407917128</v>
      </c>
      <c r="AC28" s="46">
        <f t="shared" si="53"/>
        <v>9.1684876301821053E-2</v>
      </c>
      <c r="AD28" s="46">
        <f t="shared" si="53"/>
        <v>0.12919232569802058</v>
      </c>
      <c r="AE28" s="46">
        <f t="shared" si="53"/>
        <v>0.28755711203752965</v>
      </c>
      <c r="AF28" s="46">
        <f t="shared" si="53"/>
        <v>0.25143882743378199</v>
      </c>
      <c r="AG28" s="91">
        <f t="shared" si="53"/>
        <v>0.34034537415069938</v>
      </c>
      <c r="AH28" s="47">
        <f t="shared" si="0"/>
        <v>0.35359116022099446</v>
      </c>
      <c r="AI28" s="84">
        <f t="shared" si="1"/>
        <v>2.7121212121212124</v>
      </c>
    </row>
    <row r="29" spans="1:35" x14ac:dyDescent="0.25">
      <c r="J29" s="30"/>
    </row>
  </sheetData>
  <pageMargins left="0.7" right="0.7" top="0.75" bottom="0.75" header="0.3" footer="0.3"/>
  <pageSetup paperSize="9" scale="56" orientation="portrait" r:id="rId1"/>
  <colBreaks count="1" manualBreakCount="1">
    <brk id="27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zoomScale="90" zoomScaleNormal="9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10.54296875" defaultRowHeight="15" x14ac:dyDescent="0.25"/>
  <cols>
    <col min="1" max="1" width="36.08984375" style="1" customWidth="1"/>
    <col min="2" max="2" width="6.54296875" style="1" bestFit="1" customWidth="1"/>
    <col min="3" max="3" width="10.08984375" style="1" customWidth="1"/>
    <col min="4" max="5" width="10.54296875" style="1" customWidth="1"/>
    <col min="6" max="7" width="10.54296875" style="1"/>
    <col min="8" max="10" width="8.90625" style="1" customWidth="1"/>
    <col min="11" max="11" width="10.08984375" style="1" bestFit="1" customWidth="1"/>
    <col min="12" max="12" width="10.54296875" style="3"/>
    <col min="13" max="16384" width="10.54296875" style="1"/>
  </cols>
  <sheetData>
    <row r="1" spans="1:12" s="4" customFormat="1" ht="15.6" x14ac:dyDescent="0.3">
      <c r="A1" s="6" t="s">
        <v>89</v>
      </c>
      <c r="B1" s="26">
        <v>2014</v>
      </c>
      <c r="C1" s="26">
        <v>2015</v>
      </c>
      <c r="D1" s="26">
        <v>2016</v>
      </c>
      <c r="E1" s="26">
        <v>2017</v>
      </c>
      <c r="F1" s="26">
        <v>2018</v>
      </c>
      <c r="G1" s="58">
        <v>2019</v>
      </c>
      <c r="H1" s="58">
        <v>2020</v>
      </c>
      <c r="I1" s="58">
        <v>2021</v>
      </c>
      <c r="J1" s="58">
        <v>2022</v>
      </c>
      <c r="K1" s="85" t="s">
        <v>208</v>
      </c>
      <c r="L1" s="5" t="s">
        <v>62</v>
      </c>
    </row>
    <row r="2" spans="1:12" s="4" customFormat="1" ht="15.6" x14ac:dyDescent="0.3">
      <c r="A2" s="4" t="s">
        <v>11</v>
      </c>
      <c r="B2" s="4">
        <v>113.88500000000001</v>
      </c>
      <c r="C2" s="4">
        <v>109.581</v>
      </c>
      <c r="D2" s="4">
        <v>120.857</v>
      </c>
      <c r="E2" s="4">
        <v>142.30000000000001</v>
      </c>
      <c r="F2" s="4">
        <v>170.79</v>
      </c>
      <c r="G2" s="4">
        <v>168.5</v>
      </c>
      <c r="H2" s="4">
        <v>182.74</v>
      </c>
      <c r="I2" s="4">
        <v>203.92</v>
      </c>
      <c r="J2" s="4">
        <v>239.97</v>
      </c>
      <c r="K2" s="7">
        <v>267.86</v>
      </c>
      <c r="L2" s="68">
        <f>IFERROR(K2/J2-1,"-")</f>
        <v>0.11622286119098235</v>
      </c>
    </row>
    <row r="3" spans="1:12" x14ac:dyDescent="0.25">
      <c r="A3" s="1" t="s">
        <v>81</v>
      </c>
      <c r="B3" s="1">
        <v>52.167999999999999</v>
      </c>
      <c r="C3" s="1">
        <v>51.484000000000002</v>
      </c>
      <c r="D3" s="1">
        <v>55.6</v>
      </c>
      <c r="E3" s="1">
        <v>61.96</v>
      </c>
      <c r="F3" s="1">
        <v>81.42</v>
      </c>
      <c r="G3" s="1">
        <v>66.8</v>
      </c>
      <c r="H3" s="1">
        <v>69.33</v>
      </c>
      <c r="I3" s="1">
        <v>81.38</v>
      </c>
      <c r="J3" s="1">
        <v>106.87</v>
      </c>
      <c r="K3" s="8">
        <v>142.06</v>
      </c>
      <c r="L3" s="67">
        <f t="shared" ref="L3:L28" si="0">IFERROR(K3/J3-1,"-")</f>
        <v>0.32927856273977718</v>
      </c>
    </row>
    <row r="4" spans="1:12" s="2" customFormat="1" ht="15.6" x14ac:dyDescent="0.3">
      <c r="A4" s="2" t="s">
        <v>82</v>
      </c>
      <c r="B4" s="25">
        <f t="shared" ref="B4:F4" si="1">B3/B2</f>
        <v>0.45807612942880976</v>
      </c>
      <c r="C4" s="25">
        <f t="shared" si="1"/>
        <v>0.46982597348080418</v>
      </c>
      <c r="D4" s="25">
        <f t="shared" si="1"/>
        <v>0.46004782511563252</v>
      </c>
      <c r="E4" s="35">
        <f t="shared" si="1"/>
        <v>0.43541813070976809</v>
      </c>
      <c r="F4" s="35">
        <f t="shared" si="1"/>
        <v>0.47672580361847888</v>
      </c>
      <c r="G4" s="35">
        <f t="shared" ref="G4:I4" si="2">G3/G2</f>
        <v>0.39643916913946586</v>
      </c>
      <c r="H4" s="35">
        <f t="shared" si="2"/>
        <v>0.37939148517018711</v>
      </c>
      <c r="I4" s="35">
        <f t="shared" si="2"/>
        <v>0.39907806983130639</v>
      </c>
      <c r="J4" s="35">
        <f>J3/J2</f>
        <v>0.44534733508355212</v>
      </c>
      <c r="K4" s="92">
        <f>IFERROR(K3/K2,"-")</f>
        <v>0.53035167624878665</v>
      </c>
      <c r="L4" s="67">
        <f t="shared" si="0"/>
        <v>0.19087201038103618</v>
      </c>
    </row>
    <row r="5" spans="1:12" x14ac:dyDescent="0.25">
      <c r="A5" s="1" t="s">
        <v>83</v>
      </c>
      <c r="B5" s="1">
        <v>61.716000000000001</v>
      </c>
      <c r="C5" s="1">
        <v>58.097000000000001</v>
      </c>
      <c r="D5" s="1">
        <v>65.257000000000005</v>
      </c>
      <c r="E5" s="1">
        <v>80.34</v>
      </c>
      <c r="F5" s="1">
        <f>88.03+1.34</f>
        <v>89.37</v>
      </c>
      <c r="G5" s="1">
        <v>101.7</v>
      </c>
      <c r="H5" s="1">
        <v>113.41000000000001</v>
      </c>
      <c r="I5" s="1">
        <v>122.54</v>
      </c>
      <c r="J5" s="1">
        <v>133.1</v>
      </c>
      <c r="K5" s="8">
        <v>125.8</v>
      </c>
      <c r="L5" s="67">
        <f t="shared" si="0"/>
        <v>-5.4845980465815125E-2</v>
      </c>
    </row>
    <row r="6" spans="1:12" s="2" customFormat="1" ht="15.6" x14ac:dyDescent="0.3">
      <c r="A6" s="2" t="s">
        <v>84</v>
      </c>
      <c r="B6" s="25">
        <f t="shared" ref="B6:F6" si="3">B5/B2</f>
        <v>0.54191508978355352</v>
      </c>
      <c r="C6" s="25">
        <f t="shared" si="3"/>
        <v>0.53017402651919587</v>
      </c>
      <c r="D6" s="25">
        <f t="shared" si="3"/>
        <v>0.53995217488436753</v>
      </c>
      <c r="E6" s="35">
        <f t="shared" si="3"/>
        <v>0.56458186929023191</v>
      </c>
      <c r="F6" s="35">
        <f t="shared" si="3"/>
        <v>0.52327419638152117</v>
      </c>
      <c r="G6" s="35">
        <f t="shared" ref="G6:J6" si="4">G5/G2</f>
        <v>0.60356083086053414</v>
      </c>
      <c r="H6" s="35">
        <f t="shared" si="4"/>
        <v>0.62060851482981283</v>
      </c>
      <c r="I6" s="35">
        <f t="shared" si="4"/>
        <v>0.60092193016869366</v>
      </c>
      <c r="J6" s="35">
        <f t="shared" si="4"/>
        <v>0.55465266491644782</v>
      </c>
      <c r="K6" s="92">
        <f>IFERROR(K5/K2,"-")</f>
        <v>0.46964832375121329</v>
      </c>
      <c r="L6" s="67">
        <f t="shared" si="0"/>
        <v>-0.15325688767408963</v>
      </c>
    </row>
    <row r="7" spans="1:12" x14ac:dyDescent="0.25">
      <c r="A7" s="1" t="s">
        <v>12</v>
      </c>
      <c r="B7" s="1">
        <v>78.638000000000005</v>
      </c>
      <c r="C7" s="1">
        <v>69.656999999999996</v>
      </c>
      <c r="D7" s="1">
        <v>73.626999999999995</v>
      </c>
      <c r="E7" s="1">
        <v>80.44</v>
      </c>
      <c r="F7" s="1">
        <v>100.07</v>
      </c>
      <c r="G7" s="1">
        <v>106.05</v>
      </c>
      <c r="H7" s="1">
        <v>108.17</v>
      </c>
      <c r="I7" s="1">
        <v>126.35</v>
      </c>
      <c r="J7" s="1">
        <f>152.01</f>
        <v>152.01</v>
      </c>
      <c r="K7" s="8">
        <v>156.13999999999999</v>
      </c>
      <c r="L7" s="67">
        <f t="shared" si="0"/>
        <v>2.7169265179922242E-2</v>
      </c>
    </row>
    <row r="8" spans="1:12" s="2" customFormat="1" ht="31.2" x14ac:dyDescent="0.3">
      <c r="A8" s="73" t="s">
        <v>88</v>
      </c>
      <c r="B8" s="25">
        <f t="shared" ref="B8:F8" si="5">B7/B2</f>
        <v>0.69050357817096197</v>
      </c>
      <c r="C8" s="25">
        <f t="shared" si="5"/>
        <v>0.63566676704903213</v>
      </c>
      <c r="D8" s="25">
        <f t="shared" si="5"/>
        <v>0.60920757589547969</v>
      </c>
      <c r="E8" s="25">
        <f t="shared" si="5"/>
        <v>0.56528460997891772</v>
      </c>
      <c r="F8" s="25">
        <f t="shared" si="5"/>
        <v>0.58592423443995545</v>
      </c>
      <c r="G8" s="25">
        <f t="shared" ref="G8:J8" si="6">G7/G2</f>
        <v>0.62937685459940651</v>
      </c>
      <c r="H8" s="25">
        <f t="shared" si="6"/>
        <v>0.59193389515158146</v>
      </c>
      <c r="I8" s="25">
        <f t="shared" si="6"/>
        <v>0.61960572773636724</v>
      </c>
      <c r="J8" s="25">
        <f t="shared" si="6"/>
        <v>0.6334541817727215</v>
      </c>
      <c r="K8" s="89">
        <f>IFERROR(K7/K2,"-")</f>
        <v>0.58291644889121175</v>
      </c>
      <c r="L8" s="67">
        <f t="shared" si="0"/>
        <v>-7.978119702372144E-2</v>
      </c>
    </row>
    <row r="9" spans="1:12" s="4" customFormat="1" ht="15.6" x14ac:dyDescent="0.3">
      <c r="A9" s="4" t="s">
        <v>148</v>
      </c>
      <c r="B9" s="4">
        <v>35.246000000000002</v>
      </c>
      <c r="C9" s="4">
        <v>39.923999999999999</v>
      </c>
      <c r="D9" s="4">
        <v>47.23</v>
      </c>
      <c r="E9" s="4">
        <v>61.86</v>
      </c>
      <c r="F9" s="4">
        <v>70.72</v>
      </c>
      <c r="G9" s="4">
        <v>62.45</v>
      </c>
      <c r="H9" s="4">
        <v>74.56</v>
      </c>
      <c r="I9" s="4">
        <v>77.569999999999993</v>
      </c>
      <c r="J9" s="4">
        <f>87.96</f>
        <v>87.96</v>
      </c>
      <c r="K9" s="7">
        <v>111.72</v>
      </c>
      <c r="L9" s="68">
        <f t="shared" si="0"/>
        <v>0.2701227830832198</v>
      </c>
    </row>
    <row r="10" spans="1:12" s="2" customFormat="1" ht="15.6" x14ac:dyDescent="0.3">
      <c r="A10" s="2" t="s">
        <v>157</v>
      </c>
      <c r="B10" s="25">
        <f t="shared" ref="B10:F10" si="7">B9/B2</f>
        <v>0.30948764104140142</v>
      </c>
      <c r="C10" s="25">
        <f t="shared" si="7"/>
        <v>0.36433323295096776</v>
      </c>
      <c r="D10" s="25">
        <f t="shared" si="7"/>
        <v>0.3907924241045202</v>
      </c>
      <c r="E10" s="25">
        <f t="shared" si="7"/>
        <v>0.43471539002108217</v>
      </c>
      <c r="F10" s="25">
        <f t="shared" si="7"/>
        <v>0.4140757655600445</v>
      </c>
      <c r="G10" s="25">
        <f t="shared" ref="G10" si="8">G9/G2</f>
        <v>0.37062314540059349</v>
      </c>
      <c r="H10" s="25">
        <f>H9/H2</f>
        <v>0.40801138229178069</v>
      </c>
      <c r="I10" s="25">
        <f>I9/I2</f>
        <v>0.38039427226363276</v>
      </c>
      <c r="J10" s="25">
        <f t="shared" ref="J10" si="9">J9/J2</f>
        <v>0.36654581822727839</v>
      </c>
      <c r="K10" s="89">
        <f>IFERROR(K9/K2,"-")</f>
        <v>0.41708355110878814</v>
      </c>
      <c r="L10" s="67">
        <f t="shared" si="0"/>
        <v>0.1378756225508857</v>
      </c>
    </row>
    <row r="11" spans="1:12" x14ac:dyDescent="0.25">
      <c r="A11" s="1" t="s">
        <v>13</v>
      </c>
      <c r="B11" s="1">
        <v>3.5270000000000001</v>
      </c>
      <c r="C11" s="1">
        <v>1.9239999999999999</v>
      </c>
      <c r="D11" s="1">
        <v>2.077</v>
      </c>
      <c r="E11" s="1">
        <v>3.3</v>
      </c>
      <c r="F11" s="1">
        <v>3.04</v>
      </c>
      <c r="G11" s="1">
        <v>2.79</v>
      </c>
      <c r="H11" s="1">
        <v>6.22</v>
      </c>
      <c r="I11" s="1">
        <v>6.21</v>
      </c>
      <c r="J11" s="1">
        <v>5.23</v>
      </c>
      <c r="K11" s="8">
        <v>5.45</v>
      </c>
      <c r="L11" s="67">
        <f t="shared" si="0"/>
        <v>4.2065009560229294E-2</v>
      </c>
    </row>
    <row r="12" spans="1:12" x14ac:dyDescent="0.25">
      <c r="A12" s="1" t="s">
        <v>14</v>
      </c>
      <c r="B12" s="1">
        <v>20.65</v>
      </c>
      <c r="C12" s="1">
        <v>22.696000000000002</v>
      </c>
      <c r="D12" s="1">
        <v>30.015999999999998</v>
      </c>
      <c r="E12" s="1">
        <v>36.229999999999997</v>
      </c>
      <c r="F12" s="1">
        <v>42.97</v>
      </c>
      <c r="G12" s="1">
        <v>46.78</v>
      </c>
      <c r="H12" s="1">
        <v>47.87</v>
      </c>
      <c r="I12" s="1">
        <v>50.69</v>
      </c>
      <c r="J12" s="1">
        <v>56.29</v>
      </c>
      <c r="K12" s="8">
        <v>61.5</v>
      </c>
      <c r="L12" s="67">
        <f t="shared" si="0"/>
        <v>9.2556404334695364E-2</v>
      </c>
    </row>
    <row r="13" spans="1:12" s="2" customFormat="1" ht="15.6" x14ac:dyDescent="0.3">
      <c r="A13" s="2" t="s">
        <v>65</v>
      </c>
      <c r="B13" s="25">
        <f t="shared" ref="B13:F13" si="10">B12/B2</f>
        <v>0.18132326469684329</v>
      </c>
      <c r="C13" s="25">
        <f t="shared" si="10"/>
        <v>0.20711619715096596</v>
      </c>
      <c r="D13" s="25">
        <f t="shared" si="10"/>
        <v>0.24835963163077024</v>
      </c>
      <c r="E13" s="25">
        <f t="shared" si="10"/>
        <v>0.25460295151089246</v>
      </c>
      <c r="F13" s="25">
        <f t="shared" si="10"/>
        <v>0.25159552667017976</v>
      </c>
      <c r="G13" s="25">
        <f t="shared" ref="G13:J13" si="11">G12/G2</f>
        <v>0.27762611275964394</v>
      </c>
      <c r="H13" s="25">
        <f t="shared" si="11"/>
        <v>0.26195687862536937</v>
      </c>
      <c r="I13" s="25">
        <f t="shared" si="11"/>
        <v>0.24857787367595136</v>
      </c>
      <c r="J13" s="25">
        <f t="shared" si="11"/>
        <v>0.23457098804017168</v>
      </c>
      <c r="K13" s="89">
        <f>IFERROR(K12/K2,"-")</f>
        <v>0.22959755095945641</v>
      </c>
      <c r="L13" s="67">
        <f t="shared" si="0"/>
        <v>-2.1202268542534042E-2</v>
      </c>
    </row>
    <row r="14" spans="1:12" x14ac:dyDescent="0.25">
      <c r="A14" s="1" t="s">
        <v>15</v>
      </c>
      <c r="B14" s="1">
        <v>11.872999999999999</v>
      </c>
      <c r="C14" s="1">
        <v>13.265000000000001</v>
      </c>
      <c r="D14" s="1">
        <v>13.116</v>
      </c>
      <c r="E14" s="1">
        <v>19.88</v>
      </c>
      <c r="F14" s="1">
        <v>20.260000000000002</v>
      </c>
      <c r="G14" s="1">
        <v>23.13</v>
      </c>
      <c r="H14" s="1">
        <v>21.85</v>
      </c>
      <c r="I14" s="1">
        <v>24.67</v>
      </c>
      <c r="J14" s="1">
        <v>26.43</v>
      </c>
      <c r="K14" s="8">
        <v>35.14</v>
      </c>
      <c r="L14" s="67">
        <f t="shared" si="0"/>
        <v>0.32954975406734777</v>
      </c>
    </row>
    <row r="15" spans="1:12" s="2" customFormat="1" ht="15.6" x14ac:dyDescent="0.3">
      <c r="A15" s="2" t="s">
        <v>66</v>
      </c>
      <c r="B15" s="25">
        <f t="shared" ref="B15:F15" si="12">B14/B2</f>
        <v>0.1042542916099574</v>
      </c>
      <c r="C15" s="25">
        <f t="shared" si="12"/>
        <v>0.12105200719102764</v>
      </c>
      <c r="D15" s="25">
        <f t="shared" si="12"/>
        <v>0.10852495097511936</v>
      </c>
      <c r="E15" s="25">
        <f t="shared" si="12"/>
        <v>0.13970484891075191</v>
      </c>
      <c r="F15" s="25">
        <f t="shared" si="12"/>
        <v>0.11862521224896072</v>
      </c>
      <c r="G15" s="25">
        <f t="shared" ref="G15:J15" si="13">G14/G2</f>
        <v>0.1372700296735905</v>
      </c>
      <c r="H15" s="25">
        <f t="shared" si="13"/>
        <v>0.11956878625369377</v>
      </c>
      <c r="I15" s="25">
        <f t="shared" si="13"/>
        <v>0.12097881522165557</v>
      </c>
      <c r="J15" s="25">
        <f t="shared" si="13"/>
        <v>0.11013876734591824</v>
      </c>
      <c r="K15" s="89">
        <f>IFERROR(K14/K2,"-")</f>
        <v>0.13118793399537071</v>
      </c>
      <c r="L15" s="67">
        <f t="shared" si="0"/>
        <v>0.19111496484559631</v>
      </c>
    </row>
    <row r="16" spans="1:12" ht="31.2" x14ac:dyDescent="0.3">
      <c r="A16" s="73" t="s">
        <v>196</v>
      </c>
      <c r="B16" s="1">
        <v>1.2</v>
      </c>
      <c r="C16" s="1">
        <v>1.1339999999999999</v>
      </c>
      <c r="D16" s="1">
        <v>0.67900000000000005</v>
      </c>
      <c r="E16" s="1">
        <v>1.8</v>
      </c>
      <c r="F16" s="1">
        <v>1.52</v>
      </c>
      <c r="G16" s="1">
        <v>1.01</v>
      </c>
      <c r="H16" s="1">
        <v>1.02</v>
      </c>
      <c r="I16" s="1">
        <v>4.07</v>
      </c>
      <c r="J16" s="1">
        <v>2.0099999999999998</v>
      </c>
      <c r="K16" s="28">
        <f>6.61</f>
        <v>6.61</v>
      </c>
      <c r="L16" s="67">
        <f t="shared" si="0"/>
        <v>2.2885572139303489</v>
      </c>
    </row>
    <row r="17" spans="1:12" s="4" customFormat="1" ht="15.6" x14ac:dyDescent="0.3">
      <c r="A17" s="4" t="s">
        <v>67</v>
      </c>
      <c r="B17" s="4">
        <v>8.4280000000000008</v>
      </c>
      <c r="C17" s="4">
        <v>8.36</v>
      </c>
      <c r="D17" s="4">
        <v>9.9489999999999998</v>
      </c>
      <c r="E17" s="4">
        <v>12.3</v>
      </c>
      <c r="F17" s="4">
        <f>F19+6.84</f>
        <v>15.85</v>
      </c>
      <c r="G17" s="4">
        <v>2.61</v>
      </c>
      <c r="H17" s="4">
        <f>H19+9.74</f>
        <v>19.78</v>
      </c>
      <c r="I17" s="4">
        <f>4.35+10.25</f>
        <v>14.6</v>
      </c>
      <c r="J17" s="4">
        <v>19.78</v>
      </c>
      <c r="K17" s="7">
        <f>K19+12.14</f>
        <v>26.060000000000002</v>
      </c>
      <c r="L17" s="68">
        <f t="shared" si="0"/>
        <v>0.31749241658240646</v>
      </c>
    </row>
    <row r="18" spans="1:12" s="2" customFormat="1" ht="15.6" x14ac:dyDescent="0.3">
      <c r="A18" s="2" t="s">
        <v>155</v>
      </c>
      <c r="B18" s="25">
        <f t="shared" ref="B18:F18" si="14">B17/B2</f>
        <v>7.4004478201694701E-2</v>
      </c>
      <c r="C18" s="25">
        <f t="shared" si="14"/>
        <v>7.6290597822615228E-2</v>
      </c>
      <c r="D18" s="25">
        <f t="shared" si="14"/>
        <v>8.2320428274737914E-2</v>
      </c>
      <c r="E18" s="25">
        <f t="shared" si="14"/>
        <v>8.6437104708362605E-2</v>
      </c>
      <c r="F18" s="25">
        <f t="shared" si="14"/>
        <v>9.2804028338895728E-2</v>
      </c>
      <c r="G18" s="25">
        <f t="shared" ref="G18:J18" si="15">G17/G2</f>
        <v>1.5489614243323442E-2</v>
      </c>
      <c r="H18" s="25">
        <f t="shared" si="15"/>
        <v>0.10824121702965962</v>
      </c>
      <c r="I18" s="25">
        <f t="shared" si="15"/>
        <v>7.1596704590035309E-2</v>
      </c>
      <c r="J18" s="25">
        <f t="shared" si="15"/>
        <v>8.2426970037921418E-2</v>
      </c>
      <c r="K18" s="89">
        <f>IFERROR(K17/K2,"-")</f>
        <v>9.7289628910624953E-2</v>
      </c>
      <c r="L18" s="67">
        <f t="shared" si="0"/>
        <v>0.18031305610124715</v>
      </c>
    </row>
    <row r="19" spans="1:12" s="4" customFormat="1" ht="15.6" x14ac:dyDescent="0.3">
      <c r="A19" s="4" t="s">
        <v>149</v>
      </c>
      <c r="B19" s="4">
        <v>5.05</v>
      </c>
      <c r="C19" s="4">
        <v>4.7530000000000001</v>
      </c>
      <c r="D19" s="4">
        <v>5.4950000000000001</v>
      </c>
      <c r="E19" s="4">
        <v>7.26</v>
      </c>
      <c r="F19" s="4">
        <v>9.01</v>
      </c>
      <c r="G19" s="4">
        <v>-5.68</v>
      </c>
      <c r="H19" s="4">
        <v>10.039999999999999</v>
      </c>
      <c r="I19" s="4">
        <v>4.3499999999999996</v>
      </c>
      <c r="J19" s="4">
        <v>8.4499999999999993</v>
      </c>
      <c r="K19" s="7">
        <f>8.64+5.28</f>
        <v>13.920000000000002</v>
      </c>
      <c r="L19" s="68">
        <f t="shared" si="0"/>
        <v>0.64733727810650921</v>
      </c>
    </row>
    <row r="20" spans="1:12" s="2" customFormat="1" ht="15.6" x14ac:dyDescent="0.3">
      <c r="A20" s="2" t="s">
        <v>154</v>
      </c>
      <c r="B20" s="25">
        <f t="shared" ref="B20:F20" si="16">B19/B2</f>
        <v>4.4342977565087587E-2</v>
      </c>
      <c r="C20" s="25">
        <f t="shared" si="16"/>
        <v>4.3374307589819402E-2</v>
      </c>
      <c r="D20" s="25">
        <f t="shared" si="16"/>
        <v>4.5466956816733829E-2</v>
      </c>
      <c r="E20" s="25">
        <f t="shared" si="16"/>
        <v>5.1018973998594515E-2</v>
      </c>
      <c r="F20" s="25">
        <f t="shared" si="16"/>
        <v>5.2754845131447979E-2</v>
      </c>
      <c r="G20" s="25">
        <f t="shared" ref="G20:J20" si="17">G19/G2</f>
        <v>-3.3709198813056375E-2</v>
      </c>
      <c r="H20" s="25">
        <f t="shared" si="17"/>
        <v>5.4941446864397496E-2</v>
      </c>
      <c r="I20" s="25">
        <f t="shared" si="17"/>
        <v>2.1331894860729696E-2</v>
      </c>
      <c r="J20" s="25">
        <f t="shared" si="17"/>
        <v>3.5212734925198982E-2</v>
      </c>
      <c r="K20" s="89">
        <f>IFERROR(K19/K2,"-")</f>
        <v>5.1967445680579413E-2</v>
      </c>
      <c r="L20" s="67">
        <f t="shared" si="0"/>
        <v>0.47581395739273868</v>
      </c>
    </row>
    <row r="21" spans="1:12" x14ac:dyDescent="0.25">
      <c r="A21" s="1" t="s">
        <v>16</v>
      </c>
      <c r="B21" s="1">
        <v>0.23100000000000001</v>
      </c>
      <c r="C21" s="1">
        <v>0.14099999999999999</v>
      </c>
      <c r="D21" s="1">
        <v>3.2000000000000001E-2</v>
      </c>
      <c r="E21" s="1">
        <v>2.15</v>
      </c>
      <c r="F21" s="1">
        <v>0.27</v>
      </c>
      <c r="G21" s="1">
        <v>3.29</v>
      </c>
      <c r="H21" s="1">
        <v>1.1499999999999999</v>
      </c>
      <c r="I21" s="1">
        <v>0.25</v>
      </c>
      <c r="J21" s="1">
        <v>1.49</v>
      </c>
      <c r="K21" s="8">
        <v>4.9000000000000004</v>
      </c>
      <c r="L21" s="67">
        <f t="shared" si="0"/>
        <v>2.288590604026846</v>
      </c>
    </row>
    <row r="22" spans="1:12" ht="45" x14ac:dyDescent="0.25">
      <c r="A22" s="50" t="s">
        <v>185</v>
      </c>
      <c r="B22" s="1">
        <v>1.4119999999999999</v>
      </c>
      <c r="C22" s="1">
        <v>0.752</v>
      </c>
      <c r="D22" s="1">
        <v>1.5669999999999999</v>
      </c>
      <c r="E22" s="1">
        <v>0.75</v>
      </c>
      <c r="F22" s="1">
        <v>4.2300000000000004</v>
      </c>
      <c r="G22" s="1">
        <v>2.56</v>
      </c>
      <c r="H22" s="1">
        <v>2.54</v>
      </c>
      <c r="I22" s="1">
        <v>3.09</v>
      </c>
      <c r="J22" s="1">
        <v>6.46</v>
      </c>
      <c r="K22" s="8">
        <v>10.11</v>
      </c>
      <c r="L22" s="67">
        <f t="shared" si="0"/>
        <v>0.56501547987616085</v>
      </c>
    </row>
    <row r="23" spans="1:12" x14ac:dyDescent="0.25">
      <c r="A23" s="1" t="s">
        <v>150</v>
      </c>
      <c r="B23" s="1">
        <v>3.8690000000000002</v>
      </c>
      <c r="C23" s="1">
        <v>4.1429999999999998</v>
      </c>
      <c r="D23" s="1">
        <v>3.9609999999999999</v>
      </c>
      <c r="E23" s="1">
        <v>8.67</v>
      </c>
      <c r="F23" s="1">
        <v>5.04</v>
      </c>
      <c r="G23" s="1">
        <v>-4.9400000000000004</v>
      </c>
      <c r="H23" s="1">
        <v>8.64</v>
      </c>
      <c r="I23" s="1">
        <v>1.5</v>
      </c>
      <c r="J23" s="1">
        <v>3.46</v>
      </c>
      <c r="K23" s="8">
        <v>8.7100000000000009</v>
      </c>
      <c r="L23" s="67">
        <f t="shared" si="0"/>
        <v>1.5173410404624281</v>
      </c>
    </row>
    <row r="24" spans="1:12" x14ac:dyDescent="0.25">
      <c r="A24" s="1" t="s">
        <v>17</v>
      </c>
      <c r="B24" s="1">
        <v>0.35699999999999998</v>
      </c>
      <c r="C24" s="1">
        <v>1.169</v>
      </c>
      <c r="D24" s="1">
        <v>0.82799999999999996</v>
      </c>
      <c r="E24" s="1">
        <v>1.67</v>
      </c>
      <c r="F24" s="1">
        <v>1.44</v>
      </c>
      <c r="G24" s="1">
        <v>-0.88</v>
      </c>
      <c r="H24" s="1">
        <v>0.99</v>
      </c>
      <c r="I24" s="1">
        <v>-2.99</v>
      </c>
      <c r="J24" s="1">
        <v>0.53</v>
      </c>
      <c r="K24" s="8">
        <v>1.1000000000000001</v>
      </c>
      <c r="L24" s="67">
        <f t="shared" si="0"/>
        <v>1.0754716981132075</v>
      </c>
    </row>
    <row r="25" spans="1:12" x14ac:dyDescent="0.25">
      <c r="A25" s="1" t="s">
        <v>151</v>
      </c>
      <c r="B25" s="1">
        <v>3.512</v>
      </c>
      <c r="C25" s="1">
        <v>2.9740000000000002</v>
      </c>
      <c r="D25" s="1">
        <v>3.133</v>
      </c>
      <c r="E25" s="1">
        <v>7</v>
      </c>
      <c r="F25" s="1">
        <v>3.6</v>
      </c>
      <c r="G25" s="1">
        <v>-4.8499999999999996</v>
      </c>
      <c r="H25" s="1">
        <v>7.65</v>
      </c>
      <c r="I25" s="1">
        <v>4.49</v>
      </c>
      <c r="J25" s="1">
        <v>2.93</v>
      </c>
      <c r="K25" s="8">
        <v>7.61</v>
      </c>
      <c r="L25" s="67">
        <f t="shared" si="0"/>
        <v>1.5972696245733786</v>
      </c>
    </row>
    <row r="26" spans="1:12" s="4" customFormat="1" ht="15.6" x14ac:dyDescent="0.3">
      <c r="A26" s="4" t="s">
        <v>152</v>
      </c>
      <c r="B26" s="1">
        <v>4</v>
      </c>
      <c r="C26" s="1">
        <v>3.8050000000000002</v>
      </c>
      <c r="D26" s="1">
        <v>3.0089999999999999</v>
      </c>
      <c r="E26" s="1">
        <v>7.09</v>
      </c>
      <c r="F26" s="1">
        <v>4.1500000000000004</v>
      </c>
      <c r="G26" s="1">
        <v>-5.8</v>
      </c>
      <c r="H26" s="1">
        <v>6.91</v>
      </c>
      <c r="I26" s="1">
        <v>4.41</v>
      </c>
      <c r="J26" s="1">
        <v>3.09</v>
      </c>
      <c r="K26" s="8">
        <v>7.26</v>
      </c>
      <c r="L26" s="67">
        <f t="shared" si="0"/>
        <v>1.349514563106796</v>
      </c>
    </row>
    <row r="27" spans="1:12" s="2" customFormat="1" ht="15.6" x14ac:dyDescent="0.3">
      <c r="A27" s="2" t="s">
        <v>158</v>
      </c>
      <c r="B27" s="25">
        <f t="shared" ref="B27:F27" si="18">B26/B2</f>
        <v>3.5123150546604032E-2</v>
      </c>
      <c r="C27" s="25">
        <f t="shared" si="18"/>
        <v>3.4723172812805139E-2</v>
      </c>
      <c r="D27" s="25">
        <f t="shared" si="18"/>
        <v>2.4897192549872989E-2</v>
      </c>
      <c r="E27" s="25">
        <f t="shared" si="18"/>
        <v>4.9824314827828529E-2</v>
      </c>
      <c r="F27" s="25">
        <f t="shared" si="18"/>
        <v>2.4298846536682479E-2</v>
      </c>
      <c r="G27" s="25">
        <f t="shared" ref="G27:J27" si="19">G26/G2</f>
        <v>-3.4421364985163204E-2</v>
      </c>
      <c r="H27" s="25">
        <f t="shared" si="19"/>
        <v>3.7813286636751667E-2</v>
      </c>
      <c r="I27" s="25">
        <f t="shared" si="19"/>
        <v>2.1626127893291488E-2</v>
      </c>
      <c r="J27" s="25">
        <f t="shared" si="19"/>
        <v>1.2876609576197025E-2</v>
      </c>
      <c r="K27" s="89">
        <f>IFERROR(K26/K2,"-")</f>
        <v>2.7103710893750466E-2</v>
      </c>
      <c r="L27" s="67">
        <f t="shared" si="0"/>
        <v>1.1048794508651452</v>
      </c>
    </row>
    <row r="28" spans="1:12" x14ac:dyDescent="0.25">
      <c r="A28" s="1" t="s">
        <v>153</v>
      </c>
      <c r="B28" s="1">
        <v>0.56000000000000005</v>
      </c>
      <c r="C28" s="1">
        <v>0.53</v>
      </c>
      <c r="D28" s="1">
        <v>0.41</v>
      </c>
      <c r="E28" s="1">
        <v>0.99</v>
      </c>
      <c r="F28" s="1">
        <v>0.57999999999999996</v>
      </c>
      <c r="G28" s="1">
        <v>-0.81</v>
      </c>
      <c r="H28" s="1">
        <v>0.96</v>
      </c>
      <c r="I28" s="1">
        <v>0.61</v>
      </c>
      <c r="J28" s="1">
        <f>J26*1000000/7198570</f>
        <v>0.42925192086761677</v>
      </c>
      <c r="K28" s="8">
        <f>K26*1000000/7198570</f>
        <v>1.0085336393200317</v>
      </c>
      <c r="L28" s="67">
        <f t="shared" si="0"/>
        <v>1.3495145631067964</v>
      </c>
    </row>
    <row r="31" spans="1:12" x14ac:dyDescent="0.25">
      <c r="C31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3"/>
  <sheetViews>
    <sheetView zoomScaleNormal="100" workbookViewId="0">
      <pane xSplit="1" ySplit="1" topLeftCell="AG2" activePane="bottomRight" state="frozenSplit"/>
      <selection sqref="A1:A1048576"/>
      <selection pane="topRight" activeCell="B1" sqref="B1"/>
      <selection pane="bottomLeft" activeCell="A28" sqref="A28"/>
      <selection pane="bottomRight" activeCell="AJ7" sqref="AJ7"/>
    </sheetView>
  </sheetViews>
  <sheetFormatPr defaultColWidth="10.54296875" defaultRowHeight="15" x14ac:dyDescent="0.25"/>
  <cols>
    <col min="1" max="1" width="44.453125" style="29" customWidth="1"/>
    <col min="2" max="11" width="10.54296875" style="1"/>
    <col min="12" max="14" width="10.54296875" style="1" customWidth="1"/>
    <col min="15" max="22" width="10.54296875" style="1"/>
    <col min="23" max="23" width="13.08984375" style="1" bestFit="1" customWidth="1"/>
    <col min="24" max="25" width="10.54296875" style="1"/>
    <col min="26" max="26" width="12.453125" style="1" bestFit="1" customWidth="1"/>
    <col min="27" max="27" width="13.08984375" style="1" bestFit="1" customWidth="1"/>
    <col min="28" max="33" width="13.08984375" style="1" customWidth="1"/>
    <col min="34" max="34" width="10.54296875" style="1"/>
    <col min="35" max="35" width="10.54296875" style="8"/>
    <col min="36" max="36" width="11" style="3" bestFit="1" customWidth="1"/>
    <col min="37" max="37" width="11" style="3" customWidth="1"/>
    <col min="38" max="16384" width="10.54296875" style="1"/>
  </cols>
  <sheetData>
    <row r="1" spans="1:39" s="4" customFormat="1" ht="15.6" x14ac:dyDescent="0.3">
      <c r="A1" s="29" t="s">
        <v>92</v>
      </c>
      <c r="B1" s="27" t="s">
        <v>90</v>
      </c>
      <c r="C1" s="27" t="s">
        <v>91</v>
      </c>
      <c r="D1" s="27" t="s">
        <v>18</v>
      </c>
      <c r="E1" s="27" t="s">
        <v>19</v>
      </c>
      <c r="F1" s="27" t="s">
        <v>20</v>
      </c>
      <c r="G1" s="27" t="s">
        <v>21</v>
      </c>
      <c r="H1" s="27" t="s">
        <v>22</v>
      </c>
      <c r="I1" s="27" t="s">
        <v>127</v>
      </c>
      <c r="J1" s="27" t="s">
        <v>126</v>
      </c>
      <c r="K1" s="27" t="s">
        <v>128</v>
      </c>
      <c r="L1" s="27" t="s">
        <v>131</v>
      </c>
      <c r="M1" s="48" t="s">
        <v>133</v>
      </c>
      <c r="N1" s="48" t="s">
        <v>135</v>
      </c>
      <c r="O1" s="48" t="s">
        <v>137</v>
      </c>
      <c r="P1" s="48" t="s">
        <v>139</v>
      </c>
      <c r="Q1" s="48" t="s">
        <v>141</v>
      </c>
      <c r="R1" s="48" t="s">
        <v>143</v>
      </c>
      <c r="S1" s="48" t="s">
        <v>145</v>
      </c>
      <c r="T1" s="48" t="s">
        <v>147</v>
      </c>
      <c r="U1" s="48" t="s">
        <v>160</v>
      </c>
      <c r="V1" s="48" t="s">
        <v>162</v>
      </c>
      <c r="W1" s="48" t="s">
        <v>164</v>
      </c>
      <c r="X1" s="48" t="s">
        <v>166</v>
      </c>
      <c r="Y1" s="48" t="s">
        <v>168</v>
      </c>
      <c r="Z1" s="48" t="s">
        <v>171</v>
      </c>
      <c r="AA1" s="48" t="s">
        <v>177</v>
      </c>
      <c r="AB1" s="48" t="s">
        <v>175</v>
      </c>
      <c r="AC1" s="48" t="s">
        <v>178</v>
      </c>
      <c r="AD1" s="48" t="s">
        <v>180</v>
      </c>
      <c r="AE1" s="48" t="s">
        <v>182</v>
      </c>
      <c r="AF1" s="48" t="s">
        <v>184</v>
      </c>
      <c r="AG1" s="48" t="s">
        <v>201</v>
      </c>
      <c r="AH1" s="48" t="s">
        <v>204</v>
      </c>
      <c r="AI1" s="49" t="s">
        <v>206</v>
      </c>
      <c r="AJ1" s="38" t="s">
        <v>63</v>
      </c>
      <c r="AK1" s="38" t="s">
        <v>62</v>
      </c>
      <c r="AM1" s="61"/>
    </row>
    <row r="2" spans="1:39" s="9" customFormat="1" ht="15.6" x14ac:dyDescent="0.3">
      <c r="A2" s="33" t="s">
        <v>69</v>
      </c>
      <c r="W2" s="62"/>
      <c r="AJ2" s="10"/>
      <c r="AK2" s="10"/>
      <c r="AM2" s="62"/>
    </row>
    <row r="3" spans="1:39" s="27" customFormat="1" ht="15.6" x14ac:dyDescent="0.3">
      <c r="A3" s="27" t="s">
        <v>23</v>
      </c>
      <c r="B3" s="27">
        <v>40.344999999999999</v>
      </c>
      <c r="C3" s="27">
        <v>47.609000000000002</v>
      </c>
      <c r="D3" s="27">
        <v>47.983919999999998</v>
      </c>
      <c r="E3" s="27">
        <v>47.769829999999999</v>
      </c>
      <c r="F3" s="27">
        <v>49.853200000000001</v>
      </c>
      <c r="G3" s="27">
        <v>49.917999999999999</v>
      </c>
      <c r="H3" s="27">
        <v>49.343420000000002</v>
      </c>
      <c r="I3" s="27">
        <v>49.82</v>
      </c>
      <c r="J3" s="27">
        <v>52.83</v>
      </c>
      <c r="K3" s="27">
        <v>55.41</v>
      </c>
      <c r="L3" s="27">
        <v>59.05</v>
      </c>
      <c r="M3" s="27">
        <v>62.53</v>
      </c>
      <c r="N3" s="27">
        <v>63.92</v>
      </c>
      <c r="O3" s="27">
        <v>64.36</v>
      </c>
      <c r="P3" s="27">
        <v>67.98</v>
      </c>
      <c r="Q3" s="27">
        <v>69.569999999999993</v>
      </c>
      <c r="R3" s="27">
        <v>70.27</v>
      </c>
      <c r="S3" s="27">
        <v>69.64</v>
      </c>
      <c r="T3" s="27">
        <v>69.12</v>
      </c>
      <c r="U3" s="27">
        <v>67.790000000000006</v>
      </c>
      <c r="V3" s="27">
        <v>66.73</v>
      </c>
      <c r="W3" s="4">
        <v>70.16</v>
      </c>
      <c r="X3" s="27">
        <v>63</v>
      </c>
      <c r="Y3" s="27">
        <v>71.709999999999994</v>
      </c>
      <c r="Z3" s="27">
        <v>74.56</v>
      </c>
      <c r="AA3" s="27">
        <v>80.739999999999995</v>
      </c>
      <c r="AB3" s="27">
        <v>81.349999999999994</v>
      </c>
      <c r="AC3" s="27">
        <v>81.150000000000006</v>
      </c>
      <c r="AD3" s="27">
        <v>81.47</v>
      </c>
      <c r="AE3" s="27">
        <v>83.46</v>
      </c>
      <c r="AF3" s="27">
        <v>83.33</v>
      </c>
      <c r="AG3" s="27">
        <v>82.24</v>
      </c>
      <c r="AH3" s="27">
        <v>82.03</v>
      </c>
      <c r="AI3" s="34">
        <v>80.44</v>
      </c>
      <c r="AJ3" s="36">
        <f>AI3/AH3-1</f>
        <v>-1.9383152505181078E-2</v>
      </c>
      <c r="AK3" s="36">
        <f>AI3/AE3-1</f>
        <v>-3.6184998801821133E-2</v>
      </c>
      <c r="AM3" s="63"/>
    </row>
    <row r="4" spans="1:39" s="29" customFormat="1" ht="30" x14ac:dyDescent="0.25">
      <c r="A4" s="51" t="s">
        <v>186</v>
      </c>
      <c r="B4" s="29">
        <v>27.440999999999999</v>
      </c>
      <c r="C4" s="29">
        <v>33.619999999999997</v>
      </c>
      <c r="D4" s="29">
        <v>33.784880000000001</v>
      </c>
      <c r="E4" s="29">
        <v>33.155149999999999</v>
      </c>
      <c r="F4" s="29">
        <v>34.550370000000001</v>
      </c>
      <c r="G4" s="29">
        <v>34.625</v>
      </c>
      <c r="H4" s="29">
        <v>33.960520000000002</v>
      </c>
      <c r="I4" s="29">
        <v>34.380000000000003</v>
      </c>
      <c r="J4" s="29">
        <v>37.29</v>
      </c>
      <c r="K4" s="29">
        <v>41.24</v>
      </c>
      <c r="L4" s="29">
        <v>44.13</v>
      </c>
      <c r="M4" s="29">
        <v>46.42</v>
      </c>
      <c r="N4" s="29">
        <v>46.38</v>
      </c>
      <c r="O4" s="29">
        <v>47.57</v>
      </c>
      <c r="P4" s="29">
        <f>46.16+3.76</f>
        <v>49.919999999999995</v>
      </c>
      <c r="Q4" s="29">
        <f>47.19+3.54</f>
        <v>50.73</v>
      </c>
      <c r="R4" s="29">
        <f>46.75+3.33</f>
        <v>50.08</v>
      </c>
      <c r="S4" s="29">
        <f>46.37+3.11</f>
        <v>49.48</v>
      </c>
      <c r="T4" s="29">
        <f>45.84+2.9</f>
        <v>48.74</v>
      </c>
      <c r="U4" s="29">
        <f>44.6+2.69</f>
        <v>47.29</v>
      </c>
      <c r="V4" s="29">
        <f>44.47+2.47</f>
        <v>46.94</v>
      </c>
      <c r="W4" s="1">
        <f>43.47+1.75</f>
        <v>45.22</v>
      </c>
      <c r="X4" s="29">
        <f>42.06+1.6</f>
        <v>43.660000000000004</v>
      </c>
      <c r="Y4" s="29">
        <v>46.14</v>
      </c>
      <c r="Z4" s="29">
        <v>48.86</v>
      </c>
      <c r="AA4" s="29">
        <v>51.06</v>
      </c>
      <c r="AB4" s="29">
        <v>51.65</v>
      </c>
      <c r="AC4" s="29">
        <v>50.34</v>
      </c>
      <c r="AD4" s="29">
        <v>50.16</v>
      </c>
      <c r="AE4" s="29">
        <f>39.26+12.22</f>
        <v>51.48</v>
      </c>
      <c r="AF4" s="29">
        <v>51.82</v>
      </c>
      <c r="AG4" s="29">
        <v>50.33</v>
      </c>
      <c r="AH4" s="29">
        <v>50.52</v>
      </c>
      <c r="AI4" s="28">
        <v>48.88</v>
      </c>
      <c r="AJ4" s="37">
        <f t="shared" ref="AJ4:AJ15" si="0">AI4/AH4-1</f>
        <v>-3.2462391132224822E-2</v>
      </c>
      <c r="AK4" s="37">
        <f t="shared" ref="AK4:AK15" si="1">AI4/AE4-1</f>
        <v>-5.0505050505050386E-2</v>
      </c>
      <c r="AM4" s="64"/>
    </row>
    <row r="5" spans="1:39" s="29" customFormat="1" x14ac:dyDescent="0.25">
      <c r="A5" s="29" t="s">
        <v>187</v>
      </c>
      <c r="B5" s="29">
        <v>3.6030000000000002</v>
      </c>
      <c r="C5" s="29">
        <v>5.8540000000000001</v>
      </c>
      <c r="D5" s="29">
        <v>6.0702499999999997</v>
      </c>
      <c r="E5" s="29">
        <v>6.4791499999999997</v>
      </c>
      <c r="F5" s="29">
        <v>7.1688599999999996</v>
      </c>
      <c r="G5" s="29">
        <v>7.8710000000000004</v>
      </c>
      <c r="H5" s="29">
        <v>7.95411</v>
      </c>
      <c r="I5" s="29">
        <v>8.02</v>
      </c>
      <c r="J5" s="29">
        <v>8.1300000000000008</v>
      </c>
      <c r="K5" s="29">
        <v>8.5500000000000007</v>
      </c>
      <c r="L5" s="29">
        <v>9.2799999999999994</v>
      </c>
      <c r="M5" s="29">
        <v>10.5</v>
      </c>
      <c r="N5" s="29">
        <v>11.8</v>
      </c>
      <c r="O5" s="29">
        <v>12.83</v>
      </c>
      <c r="P5" s="29">
        <v>13.82</v>
      </c>
      <c r="Q5" s="29">
        <v>14.76</v>
      </c>
      <c r="R5" s="29">
        <v>15.67</v>
      </c>
      <c r="S5" s="29">
        <v>16.05</v>
      </c>
      <c r="T5" s="29">
        <v>16.23</v>
      </c>
      <c r="U5" s="29">
        <v>16.55</v>
      </c>
      <c r="V5" s="29">
        <v>15.44</v>
      </c>
      <c r="W5" s="1">
        <v>20.91</v>
      </c>
      <c r="X5" s="29">
        <v>14.72</v>
      </c>
      <c r="Y5" s="29">
        <v>21.83</v>
      </c>
      <c r="Z5" s="29">
        <v>21.73</v>
      </c>
      <c r="AA5" s="29">
        <v>23.15</v>
      </c>
      <c r="AB5" s="29">
        <v>23.42</v>
      </c>
      <c r="AC5" s="29">
        <v>24.12</v>
      </c>
      <c r="AD5" s="29">
        <v>24.61</v>
      </c>
      <c r="AE5" s="29">
        <v>25.38</v>
      </c>
      <c r="AF5" s="29">
        <v>24.89</v>
      </c>
      <c r="AG5" s="29">
        <v>25.26</v>
      </c>
      <c r="AH5" s="29">
        <v>25.23</v>
      </c>
      <c r="AI5" s="28">
        <v>25.56</v>
      </c>
      <c r="AJ5" s="37">
        <f t="shared" si="0"/>
        <v>1.3079667063020217E-2</v>
      </c>
      <c r="AK5" s="37">
        <f t="shared" si="1"/>
        <v>7.0921985815601829E-3</v>
      </c>
      <c r="AM5" s="64"/>
    </row>
    <row r="6" spans="1:39" s="29" customFormat="1" x14ac:dyDescent="0.25">
      <c r="A6" s="29" t="s">
        <v>24</v>
      </c>
      <c r="B6" s="29">
        <v>8.7539999999999996</v>
      </c>
      <c r="C6" s="29">
        <v>7.5990000000000002</v>
      </c>
      <c r="D6" s="29">
        <v>7.5929399999999996</v>
      </c>
      <c r="E6" s="29">
        <v>7.5844500000000004</v>
      </c>
      <c r="F6" s="29">
        <v>7.5839699999999999</v>
      </c>
      <c r="G6" s="29">
        <v>6.875</v>
      </c>
      <c r="H6" s="29">
        <v>6.8742700000000001</v>
      </c>
      <c r="I6" s="29">
        <v>6.87</v>
      </c>
      <c r="J6" s="29">
        <v>6.87</v>
      </c>
      <c r="K6" s="29">
        <v>5.2</v>
      </c>
      <c r="L6" s="29">
        <v>5.21</v>
      </c>
      <c r="M6" s="29">
        <v>5.17</v>
      </c>
      <c r="N6" s="29">
        <v>5.3</v>
      </c>
      <c r="O6" s="29">
        <v>3.93</v>
      </c>
      <c r="P6" s="29">
        <v>4.21</v>
      </c>
      <c r="Q6" s="29">
        <v>4.03</v>
      </c>
      <c r="R6" s="29">
        <v>4.4800000000000004</v>
      </c>
      <c r="S6" s="29">
        <v>4.04</v>
      </c>
      <c r="T6" s="29">
        <v>4.07</v>
      </c>
      <c r="U6" s="29">
        <v>3.88</v>
      </c>
      <c r="V6" s="29">
        <v>3.78</v>
      </c>
      <c r="W6" s="1">
        <v>3.46</v>
      </c>
      <c r="X6" s="29">
        <v>4.0599999999999996</v>
      </c>
      <c r="Y6" s="29">
        <v>3.18</v>
      </c>
      <c r="Z6" s="29">
        <v>3.27</v>
      </c>
      <c r="AA6" s="29">
        <v>5.79</v>
      </c>
      <c r="AB6" s="29">
        <v>5.54</v>
      </c>
      <c r="AC6" s="29">
        <v>5.51</v>
      </c>
      <c r="AD6" s="29">
        <v>5.43</v>
      </c>
      <c r="AE6" s="29">
        <v>5.3</v>
      </c>
      <c r="AF6" s="29">
        <v>4.99</v>
      </c>
      <c r="AG6" s="29">
        <v>5.04</v>
      </c>
      <c r="AH6" s="29">
        <v>4.58</v>
      </c>
      <c r="AI6" s="28">
        <v>4.2699999999999996</v>
      </c>
      <c r="AJ6" s="37">
        <f t="shared" si="0"/>
        <v>-6.7685589519650757E-2</v>
      </c>
      <c r="AK6" s="37">
        <f t="shared" si="1"/>
        <v>-0.1943396226415095</v>
      </c>
      <c r="AM6" s="64"/>
    </row>
    <row r="7" spans="1:39" s="29" customFormat="1" x14ac:dyDescent="0.25">
      <c r="A7" s="29" t="s">
        <v>25</v>
      </c>
      <c r="B7" s="29">
        <v>0.54600000000000004</v>
      </c>
      <c r="C7" s="29">
        <v>0.53500000000000003</v>
      </c>
      <c r="D7" s="29">
        <v>0.53474999999999995</v>
      </c>
      <c r="E7" s="29">
        <v>0.54993000000000003</v>
      </c>
      <c r="F7" s="29">
        <v>0.54888000000000003</v>
      </c>
      <c r="G7" s="29">
        <v>0.53500000000000003</v>
      </c>
      <c r="H7" s="29">
        <v>0.55311999999999995</v>
      </c>
      <c r="I7" s="29">
        <v>0.55000000000000004</v>
      </c>
      <c r="J7" s="29">
        <v>0.54</v>
      </c>
      <c r="K7" s="29">
        <v>0.41</v>
      </c>
      <c r="L7" s="29">
        <v>0.43</v>
      </c>
      <c r="M7" s="29">
        <v>0.44</v>
      </c>
      <c r="N7" s="29">
        <v>0.44</v>
      </c>
      <c r="O7" s="29">
        <v>0.03</v>
      </c>
      <c r="P7" s="29">
        <v>0.03</v>
      </c>
      <c r="Q7" s="29">
        <v>0.04</v>
      </c>
      <c r="R7" s="29">
        <v>0.01</v>
      </c>
      <c r="S7" s="29">
        <v>0.03</v>
      </c>
      <c r="T7" s="29">
        <v>0.05</v>
      </c>
      <c r="U7" s="29">
        <v>0.05</v>
      </c>
      <c r="V7" s="29">
        <v>0.05</v>
      </c>
      <c r="W7" s="1">
        <v>0.05</v>
      </c>
      <c r="X7" s="29">
        <v>0.05</v>
      </c>
      <c r="Y7" s="29">
        <v>0.05</v>
      </c>
      <c r="Z7" s="29">
        <f>0.05</f>
        <v>0.05</v>
      </c>
      <c r="AA7" s="29">
        <v>0.03</v>
      </c>
      <c r="AB7" s="29">
        <v>0.04</v>
      </c>
      <c r="AC7" s="29">
        <v>0.04</v>
      </c>
      <c r="AD7" s="29">
        <v>0.04</v>
      </c>
      <c r="AE7" s="29">
        <v>0.04</v>
      </c>
      <c r="AF7" s="29">
        <v>0.04</v>
      </c>
      <c r="AG7" s="29">
        <v>0</v>
      </c>
      <c r="AH7" s="29">
        <v>0</v>
      </c>
      <c r="AI7" s="28">
        <v>0</v>
      </c>
      <c r="AJ7" s="37" t="str">
        <f>IFERROR(AI7/AH7-1,"-")</f>
        <v>-</v>
      </c>
      <c r="AK7" s="37">
        <f t="shared" si="1"/>
        <v>-1</v>
      </c>
      <c r="AM7" s="64"/>
    </row>
    <row r="8" spans="1:39" s="29" customFormat="1" x14ac:dyDescent="0.25">
      <c r="A8" s="29" t="s">
        <v>202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0.01</v>
      </c>
      <c r="H8" s="29">
        <v>0</v>
      </c>
      <c r="I8" s="29">
        <v>0</v>
      </c>
      <c r="J8" s="29">
        <v>0</v>
      </c>
      <c r="K8" s="29">
        <v>0.01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0.01</v>
      </c>
      <c r="R8" s="29">
        <v>0</v>
      </c>
      <c r="S8" s="29">
        <v>0.04</v>
      </c>
      <c r="T8" s="29">
        <v>0.03</v>
      </c>
      <c r="U8" s="29">
        <v>0.02</v>
      </c>
      <c r="V8" s="29">
        <v>0.52</v>
      </c>
      <c r="W8" s="1">
        <v>0.52</v>
      </c>
      <c r="X8" s="29">
        <v>0.51</v>
      </c>
      <c r="Y8" s="29">
        <v>0.51</v>
      </c>
      <c r="Z8" s="29">
        <v>0.65</v>
      </c>
      <c r="AA8" s="29">
        <v>0.71</v>
      </c>
      <c r="AB8" s="29">
        <v>0.7</v>
      </c>
      <c r="AC8" s="29">
        <v>1.1399999999999999</v>
      </c>
      <c r="AD8" s="29">
        <v>1.23</v>
      </c>
      <c r="AE8" s="29">
        <v>1.26</v>
      </c>
      <c r="AF8" s="29">
        <v>1.59</v>
      </c>
      <c r="AG8" s="29">
        <v>1.61</v>
      </c>
      <c r="AH8" s="29">
        <v>1.7</v>
      </c>
      <c r="AI8" s="28">
        <v>1.73</v>
      </c>
      <c r="AJ8" s="37">
        <f t="shared" si="0"/>
        <v>1.7647058823529349E-2</v>
      </c>
      <c r="AK8" s="37">
        <f t="shared" si="1"/>
        <v>0.37301587301587302</v>
      </c>
      <c r="AM8" s="64"/>
    </row>
    <row r="9" spans="1:39" s="27" customFormat="1" ht="15.6" x14ac:dyDescent="0.3">
      <c r="A9" s="27" t="s">
        <v>26</v>
      </c>
      <c r="B9" s="27">
        <v>52.914000000000001</v>
      </c>
      <c r="C9" s="27">
        <v>50.177999999999997</v>
      </c>
      <c r="D9" s="27">
        <v>44.846519999999998</v>
      </c>
      <c r="E9" s="27">
        <v>47.966360000000002</v>
      </c>
      <c r="F9" s="27">
        <v>51.898180000000004</v>
      </c>
      <c r="G9" s="27">
        <v>57.509</v>
      </c>
      <c r="H9" s="27">
        <v>56.525179999999999</v>
      </c>
      <c r="I9" s="27">
        <v>58.55</v>
      </c>
      <c r="J9" s="27">
        <v>64.260000000000005</v>
      </c>
      <c r="K9" s="27">
        <v>66.55</v>
      </c>
      <c r="L9" s="27">
        <v>62.15</v>
      </c>
      <c r="M9" s="27">
        <v>70.64</v>
      </c>
      <c r="N9" s="27">
        <v>77.540000000000006</v>
      </c>
      <c r="O9" s="27">
        <v>79.47</v>
      </c>
      <c r="P9" s="27">
        <v>72.94</v>
      </c>
      <c r="Q9" s="27">
        <v>73.52</v>
      </c>
      <c r="R9" s="27">
        <v>77.69</v>
      </c>
      <c r="S9" s="27">
        <v>80.680000000000007</v>
      </c>
      <c r="T9" s="27">
        <v>88.56</v>
      </c>
      <c r="U9" s="27">
        <v>85.34</v>
      </c>
      <c r="V9" s="27">
        <v>84.91</v>
      </c>
      <c r="W9" s="4">
        <v>86.32</v>
      </c>
      <c r="X9" s="27">
        <v>97.27</v>
      </c>
      <c r="Y9" s="27">
        <v>96.08</v>
      </c>
      <c r="Z9" s="27">
        <v>107.61</v>
      </c>
      <c r="AA9" s="27">
        <v>124.57</v>
      </c>
      <c r="AB9" s="27">
        <v>121.02</v>
      </c>
      <c r="AC9" s="27">
        <v>131.47999999999999</v>
      </c>
      <c r="AD9" s="27">
        <v>117.78</v>
      </c>
      <c r="AE9" s="27">
        <v>117.94</v>
      </c>
      <c r="AF9" s="27">
        <v>124.54</v>
      </c>
      <c r="AG9" s="27">
        <v>134.9</v>
      </c>
      <c r="AH9" s="27">
        <v>152.13</v>
      </c>
      <c r="AI9" s="34">
        <v>147.29</v>
      </c>
      <c r="AJ9" s="36">
        <f t="shared" si="0"/>
        <v>-3.1814895155459211E-2</v>
      </c>
      <c r="AK9" s="36">
        <f t="shared" si="1"/>
        <v>0.2488553501780566</v>
      </c>
      <c r="AM9" s="63"/>
    </row>
    <row r="10" spans="1:39" s="29" customFormat="1" x14ac:dyDescent="0.25">
      <c r="A10" s="29" t="s">
        <v>27</v>
      </c>
      <c r="B10" s="29">
        <v>28.364999999999998</v>
      </c>
      <c r="C10" s="29">
        <v>24.532</v>
      </c>
      <c r="D10" s="29">
        <v>25.388110000000001</v>
      </c>
      <c r="E10" s="29">
        <v>25.32066</v>
      </c>
      <c r="F10" s="29">
        <v>27.43064</v>
      </c>
      <c r="G10" s="29">
        <v>29.832999999999998</v>
      </c>
      <c r="H10" s="29">
        <v>33.137569999999997</v>
      </c>
      <c r="I10" s="29">
        <v>31.48</v>
      </c>
      <c r="J10" s="29">
        <v>32.57</v>
      </c>
      <c r="K10" s="29">
        <v>32.590000000000003</v>
      </c>
      <c r="L10" s="29">
        <v>31.29</v>
      </c>
      <c r="M10" s="29">
        <v>32.61</v>
      </c>
      <c r="N10" s="29">
        <v>39.94</v>
      </c>
      <c r="O10" s="29">
        <v>35.51</v>
      </c>
      <c r="P10" s="29">
        <v>36.67</v>
      </c>
      <c r="Q10" s="29">
        <v>37.880000000000003</v>
      </c>
      <c r="R10" s="29">
        <v>40.450000000000003</v>
      </c>
      <c r="S10" s="29">
        <v>41.55</v>
      </c>
      <c r="T10" s="29">
        <v>45.77</v>
      </c>
      <c r="U10" s="29">
        <v>47.23</v>
      </c>
      <c r="V10" s="29">
        <v>47.23</v>
      </c>
      <c r="W10" s="1">
        <v>40.770000000000003</v>
      </c>
      <c r="X10" s="29">
        <v>59.19</v>
      </c>
      <c r="Y10" s="29">
        <v>57.02</v>
      </c>
      <c r="Z10" s="29">
        <v>58.83</v>
      </c>
      <c r="AA10" s="29">
        <v>64.53</v>
      </c>
      <c r="AB10" s="29">
        <v>73.87</v>
      </c>
      <c r="AC10" s="29">
        <v>70.7</v>
      </c>
      <c r="AD10" s="29">
        <v>63.92</v>
      </c>
      <c r="AE10" s="29">
        <v>59.27</v>
      </c>
      <c r="AF10" s="29">
        <v>56.67</v>
      </c>
      <c r="AG10" s="29">
        <v>58.74</v>
      </c>
      <c r="AH10" s="29">
        <v>60.99</v>
      </c>
      <c r="AI10" s="28">
        <v>68.27</v>
      </c>
      <c r="AJ10" s="37">
        <f t="shared" si="0"/>
        <v>0.11936383013608776</v>
      </c>
      <c r="AK10" s="37">
        <f t="shared" si="1"/>
        <v>0.15184747764467676</v>
      </c>
      <c r="AM10" s="64"/>
    </row>
    <row r="11" spans="1:39" s="29" customFormat="1" ht="30" x14ac:dyDescent="0.25">
      <c r="A11" s="51" t="s">
        <v>188</v>
      </c>
      <c r="B11" s="29">
        <v>19.891999999999999</v>
      </c>
      <c r="C11" s="29">
        <v>21.838999999999999</v>
      </c>
      <c r="D11" s="29">
        <v>14.83122</v>
      </c>
      <c r="E11" s="29">
        <v>18.250440000000001</v>
      </c>
      <c r="F11" s="29">
        <v>20.480029999999999</v>
      </c>
      <c r="G11" s="29">
        <v>23.771999999999998</v>
      </c>
      <c r="H11" s="29">
        <v>19.869959999999999</v>
      </c>
      <c r="I11" s="29">
        <v>21.31</v>
      </c>
      <c r="J11" s="29">
        <v>25.6</v>
      </c>
      <c r="K11" s="29">
        <v>28.49</v>
      </c>
      <c r="L11" s="29">
        <v>26.32</v>
      </c>
      <c r="M11" s="29">
        <v>32.799999999999997</v>
      </c>
      <c r="N11" s="29">
        <v>32.19</v>
      </c>
      <c r="O11" s="29">
        <v>34.92</v>
      </c>
      <c r="P11" s="29">
        <v>25.44</v>
      </c>
      <c r="Q11" s="29">
        <v>28.72</v>
      </c>
      <c r="R11" s="29">
        <v>30.01</v>
      </c>
      <c r="S11" s="29">
        <v>32.01</v>
      </c>
      <c r="T11" s="29">
        <v>33.85</v>
      </c>
      <c r="U11" s="29">
        <v>29.94</v>
      </c>
      <c r="V11" s="29">
        <v>29.57</v>
      </c>
      <c r="W11" s="1">
        <v>33.51</v>
      </c>
      <c r="X11" s="29">
        <v>27.76</v>
      </c>
      <c r="Y11" s="29">
        <v>30.08</v>
      </c>
      <c r="Z11" s="29">
        <v>39.950000000000003</v>
      </c>
      <c r="AA11" s="29">
        <v>45.7</v>
      </c>
      <c r="AB11" s="29">
        <v>37.96</v>
      </c>
      <c r="AC11" s="29">
        <v>51.71</v>
      </c>
      <c r="AD11" s="29">
        <v>42.24</v>
      </c>
      <c r="AE11" s="29">
        <f>44.44+3.13</f>
        <v>47.57</v>
      </c>
      <c r="AF11" s="29">
        <v>56.12</v>
      </c>
      <c r="AG11" s="29">
        <v>63.31</v>
      </c>
      <c r="AH11" s="29">
        <v>79.83</v>
      </c>
      <c r="AI11" s="28">
        <v>61.53</v>
      </c>
      <c r="AJ11" s="37">
        <f t="shared" si="0"/>
        <v>-0.22923712889891013</v>
      </c>
      <c r="AK11" s="37">
        <f t="shared" si="1"/>
        <v>0.29346226613411819</v>
      </c>
      <c r="AM11" s="64"/>
    </row>
    <row r="12" spans="1:39" s="29" customFormat="1" x14ac:dyDescent="0.25">
      <c r="A12" s="29" t="s">
        <v>189</v>
      </c>
      <c r="B12" s="29">
        <v>2.0840000000000001</v>
      </c>
      <c r="C12" s="29">
        <v>1.5980000000000001</v>
      </c>
      <c r="D12" s="29">
        <v>1.6560900000000001</v>
      </c>
      <c r="E12" s="29">
        <v>1.4</v>
      </c>
      <c r="F12" s="29">
        <v>1.6956500000000001</v>
      </c>
      <c r="G12" s="29">
        <v>1.7010000000000001</v>
      </c>
      <c r="H12" s="29">
        <v>1.26711</v>
      </c>
      <c r="I12" s="29">
        <v>1.49</v>
      </c>
      <c r="J12" s="29">
        <v>0.93</v>
      </c>
      <c r="K12" s="29">
        <v>1.3800000000000026</v>
      </c>
      <c r="L12" s="29">
        <v>1.04</v>
      </c>
      <c r="M12" s="29">
        <v>1.81</v>
      </c>
      <c r="N12" s="29">
        <v>1.73</v>
      </c>
      <c r="O12" s="29">
        <f>2.29+0.22</f>
        <v>2.5100000000000002</v>
      </c>
      <c r="P12" s="29">
        <f>2.29</f>
        <v>2.29</v>
      </c>
      <c r="Q12" s="29">
        <f>0.34+1.37</f>
        <v>1.7100000000000002</v>
      </c>
      <c r="R12" s="29">
        <v>1.66</v>
      </c>
      <c r="S12" s="29">
        <f>1.25+0.19</f>
        <v>1.44</v>
      </c>
      <c r="T12" s="29">
        <v>2.2000000000000002</v>
      </c>
      <c r="U12" s="29">
        <v>3.02</v>
      </c>
      <c r="V12" s="29">
        <f>2.03+0.13+0.19</f>
        <v>2.3499999999999996</v>
      </c>
      <c r="W12" s="1">
        <f>2.79+0.23</f>
        <v>3.02</v>
      </c>
      <c r="X12" s="29">
        <v>3.28</v>
      </c>
      <c r="Y12" s="29">
        <f>3.56+0.01</f>
        <v>3.57</v>
      </c>
      <c r="Z12" s="29">
        <f>3.25+0.05+0.24</f>
        <v>3.54</v>
      </c>
      <c r="AA12" s="29">
        <f>2.9+0.71</f>
        <v>3.61</v>
      </c>
      <c r="AB12" s="29">
        <v>3.15</v>
      </c>
      <c r="AC12" s="29">
        <v>3.16</v>
      </c>
      <c r="AD12" s="29">
        <f>1.8+0.34+0.74</f>
        <v>2.88</v>
      </c>
      <c r="AE12" s="29">
        <v>2.54</v>
      </c>
      <c r="AF12" s="29">
        <v>6.23</v>
      </c>
      <c r="AG12" s="29">
        <v>3.21</v>
      </c>
      <c r="AH12" s="29">
        <v>3.02</v>
      </c>
      <c r="AI12" s="28">
        <v>1.78</v>
      </c>
      <c r="AJ12" s="37">
        <f t="shared" si="0"/>
        <v>-0.41059602649006621</v>
      </c>
      <c r="AK12" s="37">
        <f t="shared" si="1"/>
        <v>-0.29921259842519687</v>
      </c>
      <c r="AM12" s="64"/>
    </row>
    <row r="13" spans="1:39" s="29" customFormat="1" ht="30" x14ac:dyDescent="0.25">
      <c r="A13" s="51" t="s">
        <v>190</v>
      </c>
      <c r="B13" s="29">
        <v>0.89100000000000001</v>
      </c>
      <c r="C13" s="29">
        <v>1.3260000000000001</v>
      </c>
      <c r="D13" s="29">
        <v>1.75108</v>
      </c>
      <c r="E13" s="29">
        <v>1.7148000000000001</v>
      </c>
      <c r="F13" s="29">
        <v>1.48187</v>
      </c>
      <c r="G13" s="29">
        <v>1.2170000000000001</v>
      </c>
      <c r="H13" s="29">
        <v>1.35164</v>
      </c>
      <c r="I13" s="29">
        <v>1.88</v>
      </c>
      <c r="J13" s="29">
        <v>1.95</v>
      </c>
      <c r="K13" s="29">
        <v>1.47</v>
      </c>
      <c r="L13" s="29">
        <v>2.02</v>
      </c>
      <c r="M13" s="29">
        <v>2.72</v>
      </c>
      <c r="N13" s="29">
        <v>2.14</v>
      </c>
      <c r="O13" s="29">
        <v>1.27</v>
      </c>
      <c r="P13" s="29">
        <v>1.45</v>
      </c>
      <c r="Q13" s="29">
        <v>2</v>
      </c>
      <c r="R13" s="29">
        <v>2.2599999999999998</v>
      </c>
      <c r="S13" s="29">
        <v>1.94</v>
      </c>
      <c r="T13" s="29">
        <v>1.89</v>
      </c>
      <c r="U13" s="29">
        <v>1.46</v>
      </c>
      <c r="V13" s="29">
        <v>1.88</v>
      </c>
      <c r="W13" s="1">
        <v>3.01</v>
      </c>
      <c r="X13" s="29">
        <v>2.8</v>
      </c>
      <c r="Y13" s="29">
        <v>2.7</v>
      </c>
      <c r="Z13" s="29">
        <v>2.2999999999999998</v>
      </c>
      <c r="AA13" s="29">
        <f>0.37+2.25</f>
        <v>2.62</v>
      </c>
      <c r="AB13" s="29">
        <v>2.11</v>
      </c>
      <c r="AC13" s="29">
        <v>1.65</v>
      </c>
      <c r="AD13" s="29">
        <v>1.63</v>
      </c>
      <c r="AE13" s="29">
        <v>2.0299999999999998</v>
      </c>
      <c r="AF13" s="29">
        <v>3.11</v>
      </c>
      <c r="AG13" s="29">
        <v>3.58</v>
      </c>
      <c r="AH13" s="29">
        <v>3.16</v>
      </c>
      <c r="AI13" s="28">
        <v>1.73</v>
      </c>
      <c r="AJ13" s="37">
        <f t="shared" si="0"/>
        <v>-0.45253164556962033</v>
      </c>
      <c r="AK13" s="37">
        <f t="shared" si="1"/>
        <v>-0.14778325123152702</v>
      </c>
      <c r="AM13" s="64"/>
    </row>
    <row r="14" spans="1:39" s="29" customFormat="1" x14ac:dyDescent="0.25">
      <c r="A14" s="29" t="s">
        <v>28</v>
      </c>
      <c r="B14" s="29">
        <v>1.6819999999999999</v>
      </c>
      <c r="C14" s="29">
        <v>0.86499999999999999</v>
      </c>
      <c r="D14" s="29">
        <v>1.20242</v>
      </c>
      <c r="E14" s="29">
        <v>1.26284</v>
      </c>
      <c r="F14" s="29">
        <v>0.79237000000000002</v>
      </c>
      <c r="G14" s="29">
        <v>0.98699999999999999</v>
      </c>
      <c r="H14" s="29">
        <v>0.89890000000000003</v>
      </c>
      <c r="I14" s="29">
        <v>2.38</v>
      </c>
      <c r="J14" s="29">
        <v>3.21</v>
      </c>
      <c r="K14" s="29">
        <v>2.62</v>
      </c>
      <c r="L14" s="29">
        <v>1.48</v>
      </c>
      <c r="M14" s="29">
        <v>0.7</v>
      </c>
      <c r="N14" s="29">
        <v>1.54</v>
      </c>
      <c r="O14" s="29">
        <v>5.26</v>
      </c>
      <c r="P14" s="29">
        <v>7.09</v>
      </c>
      <c r="Q14" s="29">
        <v>3.21</v>
      </c>
      <c r="R14" s="29">
        <v>3.31</v>
      </c>
      <c r="S14" s="29">
        <v>3.74</v>
      </c>
      <c r="T14" s="29">
        <v>4.8499999999999996</v>
      </c>
      <c r="U14" s="29">
        <v>3.69</v>
      </c>
      <c r="V14" s="29">
        <v>3.88</v>
      </c>
      <c r="W14" s="1">
        <v>6.01</v>
      </c>
      <c r="X14" s="29">
        <v>4.24</v>
      </c>
      <c r="Y14" s="29">
        <v>2.71</v>
      </c>
      <c r="Z14" s="29">
        <v>2.99</v>
      </c>
      <c r="AA14" s="29">
        <v>8.11</v>
      </c>
      <c r="AB14" s="29">
        <v>3.93</v>
      </c>
      <c r="AC14" s="29">
        <v>4.26</v>
      </c>
      <c r="AD14" s="29">
        <v>7.11</v>
      </c>
      <c r="AE14" s="29">
        <v>6.53</v>
      </c>
      <c r="AF14" s="29">
        <v>2.41</v>
      </c>
      <c r="AG14" s="29">
        <v>6.06</v>
      </c>
      <c r="AH14" s="29">
        <v>5.13</v>
      </c>
      <c r="AI14" s="28">
        <v>13.98</v>
      </c>
      <c r="AJ14" s="37">
        <f t="shared" si="0"/>
        <v>1.7251461988304095</v>
      </c>
      <c r="AK14" s="37">
        <f t="shared" si="1"/>
        <v>1.1408882082695251</v>
      </c>
      <c r="AM14" s="64"/>
    </row>
    <row r="15" spans="1:39" s="27" customFormat="1" ht="15.6" x14ac:dyDescent="0.3">
      <c r="A15" s="27" t="s">
        <v>29</v>
      </c>
      <c r="B15" s="27">
        <v>93.259</v>
      </c>
      <c r="C15" s="27">
        <v>97.787999999999997</v>
      </c>
      <c r="D15" s="27">
        <v>92.830439999999996</v>
      </c>
      <c r="E15" s="27">
        <v>95.736189999999993</v>
      </c>
      <c r="F15" s="27">
        <v>101.75138</v>
      </c>
      <c r="G15" s="27">
        <v>107.42700000000001</v>
      </c>
      <c r="H15" s="27">
        <v>105.8686</v>
      </c>
      <c r="I15" s="27">
        <f>I3+I9</f>
        <v>108.37</v>
      </c>
      <c r="J15" s="27">
        <f>J3+J9</f>
        <v>117.09</v>
      </c>
      <c r="K15" s="27">
        <v>121.96</v>
      </c>
      <c r="L15" s="27">
        <v>121.2</v>
      </c>
      <c r="M15" s="27">
        <v>133.16999999999999</v>
      </c>
      <c r="N15" s="27">
        <v>141.46</v>
      </c>
      <c r="O15" s="27">
        <v>143.83000000000001</v>
      </c>
      <c r="P15" s="27">
        <v>140.91999999999999</v>
      </c>
      <c r="Q15" s="27">
        <v>143.09</v>
      </c>
      <c r="R15" s="27">
        <v>147.96</v>
      </c>
      <c r="S15" s="27">
        <v>150.32</v>
      </c>
      <c r="T15" s="27">
        <v>157.68</v>
      </c>
      <c r="U15" s="27">
        <v>153.13</v>
      </c>
      <c r="V15" s="27">
        <v>151.63999999999999</v>
      </c>
      <c r="W15" s="4">
        <v>156.47999999999999</v>
      </c>
      <c r="X15" s="27">
        <v>160.27000000000001</v>
      </c>
      <c r="Y15" s="27">
        <v>167.78</v>
      </c>
      <c r="Z15" s="27">
        <v>182.17</v>
      </c>
      <c r="AA15" s="27">
        <v>205.31</v>
      </c>
      <c r="AB15" s="27">
        <v>202.37</v>
      </c>
      <c r="AC15" s="27">
        <v>212.63</v>
      </c>
      <c r="AD15" s="27">
        <v>199.25</v>
      </c>
      <c r="AE15" s="27">
        <f>AE3+AE9</f>
        <v>201.39999999999998</v>
      </c>
      <c r="AF15" s="27">
        <f>AF3+AF9</f>
        <v>207.87</v>
      </c>
      <c r="AG15" s="27">
        <v>217.14</v>
      </c>
      <c r="AH15" s="27">
        <v>234.16</v>
      </c>
      <c r="AI15" s="34">
        <v>227.73</v>
      </c>
      <c r="AJ15" s="36">
        <f t="shared" si="0"/>
        <v>-2.7459856508370351E-2</v>
      </c>
      <c r="AK15" s="36">
        <f t="shared" si="1"/>
        <v>0.13073485600794443</v>
      </c>
      <c r="AM15" s="63"/>
    </row>
    <row r="16" spans="1:39" s="9" customFormat="1" ht="15.6" x14ac:dyDescent="0.3">
      <c r="A16" s="33" t="s">
        <v>68</v>
      </c>
      <c r="W16" s="62"/>
      <c r="AJ16" s="10"/>
      <c r="AK16" s="10"/>
      <c r="AM16" s="62"/>
    </row>
    <row r="17" spans="1:39" s="27" customFormat="1" ht="15.6" x14ac:dyDescent="0.3">
      <c r="A17" s="27" t="s">
        <v>30</v>
      </c>
      <c r="B17" s="27">
        <v>39.746000000000002</v>
      </c>
      <c r="C17" s="27">
        <v>42.561999999999998</v>
      </c>
      <c r="D17" s="27">
        <v>41.82405</v>
      </c>
      <c r="E17" s="27">
        <v>43.084409999999998</v>
      </c>
      <c r="F17" s="27">
        <v>43.921950000000002</v>
      </c>
      <c r="G17" s="27">
        <v>45.561999999999998</v>
      </c>
      <c r="H17" s="27">
        <v>46.305790000000002</v>
      </c>
      <c r="I17" s="27">
        <v>46.77</v>
      </c>
      <c r="J17" s="27">
        <v>48.63</v>
      </c>
      <c r="K17" s="27">
        <v>51.43</v>
      </c>
      <c r="L17" s="27">
        <v>52.43</v>
      </c>
      <c r="M17" s="27">
        <f>54.21-1.6</f>
        <v>52.61</v>
      </c>
      <c r="N17" s="27">
        <v>54.95</v>
      </c>
      <c r="O17" s="27">
        <v>53.85</v>
      </c>
      <c r="P17" s="27">
        <v>54.75</v>
      </c>
      <c r="Q17" s="27">
        <v>52.61</v>
      </c>
      <c r="R17" s="27">
        <v>52.04</v>
      </c>
      <c r="S17" s="27">
        <v>45.65</v>
      </c>
      <c r="T17" s="27">
        <v>48.53</v>
      </c>
      <c r="U17" s="27">
        <v>49.87</v>
      </c>
      <c r="V17" s="27">
        <v>50.61</v>
      </c>
      <c r="W17" s="4">
        <v>52.05</v>
      </c>
      <c r="X17" s="27">
        <v>52.81</v>
      </c>
      <c r="Y17" s="27">
        <v>54.7</v>
      </c>
      <c r="Z17" s="27">
        <v>55.54</v>
      </c>
      <c r="AA17" s="27">
        <v>59.78</v>
      </c>
      <c r="AB17" s="27">
        <v>60.44</v>
      </c>
      <c r="AC17" s="27">
        <v>61.09</v>
      </c>
      <c r="AD17" s="27">
        <v>62.02</v>
      </c>
      <c r="AE17" s="27">
        <v>62.62</v>
      </c>
      <c r="AF17" s="27">
        <v>62.68</v>
      </c>
      <c r="AG17" s="27">
        <v>63.9</v>
      </c>
      <c r="AH17" s="27">
        <v>65.239999999999995</v>
      </c>
      <c r="AI17" s="34">
        <v>66.430000000000007</v>
      </c>
      <c r="AJ17" s="38">
        <f>AI17/AH17-1</f>
        <v>1.8240343347639687E-2</v>
      </c>
      <c r="AK17" s="38">
        <f>AI17/AE17-1</f>
        <v>6.0843181092302911E-2</v>
      </c>
      <c r="AM17" s="63"/>
    </row>
    <row r="18" spans="1:39" s="29" customFormat="1" x14ac:dyDescent="0.25">
      <c r="A18" s="29" t="s">
        <v>191</v>
      </c>
      <c r="B18" s="29">
        <v>-0.66600000000000004</v>
      </c>
      <c r="C18" s="29">
        <v>-1.552</v>
      </c>
      <c r="D18" s="29">
        <v>-1.5623400000000001</v>
      </c>
      <c r="E18" s="29">
        <v>-1.552</v>
      </c>
      <c r="F18" s="29">
        <v>-1.552</v>
      </c>
      <c r="G18" s="29">
        <v>-1.4690000000000001</v>
      </c>
      <c r="H18" s="29">
        <v>-1.4831799999999999</v>
      </c>
      <c r="I18" s="29">
        <v>-1.06</v>
      </c>
      <c r="J18" s="29">
        <v>-1.69</v>
      </c>
      <c r="K18" s="29">
        <v>-1.54</v>
      </c>
      <c r="L18" s="29">
        <v>-1.67</v>
      </c>
      <c r="M18" s="29">
        <v>-1.6</v>
      </c>
      <c r="N18" s="29">
        <v>-1.65</v>
      </c>
      <c r="O18" s="29">
        <v>-2.06</v>
      </c>
      <c r="P18" s="29">
        <v>-2.0499999999999998</v>
      </c>
      <c r="Q18" s="29">
        <v>-1.64</v>
      </c>
      <c r="R18" s="29">
        <v>-2.25</v>
      </c>
      <c r="S18" s="29">
        <v>-2.09</v>
      </c>
      <c r="T18" s="29">
        <v>-1.62</v>
      </c>
      <c r="U18" s="29">
        <v>-1.91</v>
      </c>
      <c r="V18" s="29">
        <v>-2.1030000000000002</v>
      </c>
      <c r="W18" s="1">
        <v>-1.62</v>
      </c>
      <c r="X18" s="29">
        <v>-2.21</v>
      </c>
      <c r="Y18" s="29">
        <v>-1.68</v>
      </c>
      <c r="Z18" s="29">
        <v>-1.99</v>
      </c>
      <c r="AA18" s="29">
        <v>-0.91</v>
      </c>
      <c r="AB18" s="29">
        <v>-1.1499999999999999</v>
      </c>
      <c r="AC18" s="29">
        <v>-1.2</v>
      </c>
      <c r="AD18" s="29">
        <v>-1.0900000000000001</v>
      </c>
      <c r="AE18" s="29">
        <v>-0.73</v>
      </c>
      <c r="AF18" s="29">
        <v>-0.77</v>
      </c>
      <c r="AG18" s="29">
        <v>-1.1200000000000001</v>
      </c>
      <c r="AH18" s="29">
        <v>-1.29</v>
      </c>
      <c r="AI18" s="28">
        <v>-1.87</v>
      </c>
      <c r="AJ18" s="37">
        <f t="shared" ref="AJ18:AJ29" si="2">AI18/AH18-1</f>
        <v>0.44961240310077533</v>
      </c>
      <c r="AK18" s="37">
        <f t="shared" ref="AK18:AK29" si="3">AI18/AE18-1</f>
        <v>1.5616438356164384</v>
      </c>
      <c r="AM18" s="64"/>
    </row>
    <row r="19" spans="1:39" s="27" customFormat="1" ht="15.6" x14ac:dyDescent="0.3">
      <c r="A19" s="27" t="s">
        <v>31</v>
      </c>
      <c r="B19" s="27">
        <v>11.294</v>
      </c>
      <c r="C19" s="27">
        <v>14.211</v>
      </c>
      <c r="D19" s="27">
        <v>14.03058</v>
      </c>
      <c r="E19" s="27">
        <v>13.18304</v>
      </c>
      <c r="F19" s="27">
        <v>14.02187</v>
      </c>
      <c r="G19" s="27">
        <v>13.750999999999999</v>
      </c>
      <c r="H19" s="27">
        <v>13.27835</v>
      </c>
      <c r="I19" s="27">
        <v>13.35</v>
      </c>
      <c r="J19" s="27">
        <v>15.47</v>
      </c>
      <c r="K19" s="27">
        <v>14.36</v>
      </c>
      <c r="L19" s="27">
        <v>14.66</v>
      </c>
      <c r="M19" s="27">
        <v>16.48</v>
      </c>
      <c r="N19" s="27">
        <v>16.57</v>
      </c>
      <c r="O19" s="27">
        <v>14.93</v>
      </c>
      <c r="P19" s="27">
        <v>18.25</v>
      </c>
      <c r="Q19" s="27">
        <v>17.41</v>
      </c>
      <c r="R19" s="27">
        <v>16.63</v>
      </c>
      <c r="S19" s="27">
        <v>14.17</v>
      </c>
      <c r="T19" s="27">
        <v>12.94</v>
      </c>
      <c r="U19" s="27">
        <v>13.37</v>
      </c>
      <c r="V19" s="27">
        <v>12.61</v>
      </c>
      <c r="W19" s="4">
        <v>10.78</v>
      </c>
      <c r="X19" s="27">
        <v>10.43</v>
      </c>
      <c r="Y19" s="27">
        <v>9.2799999999999994</v>
      </c>
      <c r="Z19" s="27">
        <v>11.79</v>
      </c>
      <c r="AA19" s="27">
        <v>12.84</v>
      </c>
      <c r="AB19" s="27">
        <v>13.84</v>
      </c>
      <c r="AC19" s="27">
        <v>12.25</v>
      </c>
      <c r="AD19" s="27">
        <v>12.2</v>
      </c>
      <c r="AE19" s="27">
        <v>14.57</v>
      </c>
      <c r="AF19" s="27">
        <v>15.57</v>
      </c>
      <c r="AG19" s="27">
        <v>15.29</v>
      </c>
      <c r="AH19" s="27">
        <v>15.49</v>
      </c>
      <c r="AI19" s="34">
        <v>16</v>
      </c>
      <c r="AJ19" s="36">
        <f t="shared" si="2"/>
        <v>3.2924467398321555E-2</v>
      </c>
      <c r="AK19" s="36">
        <f t="shared" si="3"/>
        <v>9.8146877144818179E-2</v>
      </c>
      <c r="AM19" s="63"/>
    </row>
    <row r="20" spans="1:39" s="29" customFormat="1" x14ac:dyDescent="0.25">
      <c r="A20" s="29" t="s">
        <v>193</v>
      </c>
      <c r="B20" s="29">
        <v>0.92400000000000004</v>
      </c>
      <c r="C20" s="29">
        <v>4.952</v>
      </c>
      <c r="D20" s="29">
        <v>4.8291199999999996</v>
      </c>
      <c r="E20" s="29">
        <v>4.4506300000000003</v>
      </c>
      <c r="F20" s="29">
        <v>4.2205599999999999</v>
      </c>
      <c r="G20" s="29">
        <v>4.149</v>
      </c>
      <c r="H20" s="29">
        <v>3.9385300000000001</v>
      </c>
      <c r="I20" s="29">
        <v>4.18</v>
      </c>
      <c r="J20" s="29">
        <v>4.78</v>
      </c>
      <c r="K20" s="29">
        <v>4.75</v>
      </c>
      <c r="L20" s="29">
        <v>4.47</v>
      </c>
      <c r="M20" s="29">
        <v>4.18</v>
      </c>
      <c r="N20" s="29">
        <v>3.99</v>
      </c>
      <c r="O20" s="29">
        <v>3.78</v>
      </c>
      <c r="P20" s="29">
        <v>3.59</v>
      </c>
      <c r="Q20" s="29">
        <v>3.22</v>
      </c>
      <c r="R20" s="29">
        <v>3.22</v>
      </c>
      <c r="S20" s="29">
        <v>2.64</v>
      </c>
      <c r="T20" s="29">
        <v>2.35</v>
      </c>
      <c r="U20" s="29">
        <v>2.08</v>
      </c>
      <c r="V20" s="29">
        <v>1.83</v>
      </c>
      <c r="W20" s="1">
        <v>1.66</v>
      </c>
      <c r="X20" s="29">
        <v>1.48</v>
      </c>
      <c r="Y20" s="29">
        <v>1.1299999999999999</v>
      </c>
      <c r="Z20" s="29">
        <v>3.32</v>
      </c>
      <c r="AA20" s="29">
        <v>5.98</v>
      </c>
      <c r="AB20" s="29">
        <v>7.24</v>
      </c>
      <c r="AC20" s="29">
        <v>6.93</v>
      </c>
      <c r="AD20" s="29">
        <v>7.09</v>
      </c>
      <c r="AE20" s="29">
        <v>6.27</v>
      </c>
      <c r="AF20" s="29">
        <v>5.89</v>
      </c>
      <c r="AG20" s="29">
        <v>5.5</v>
      </c>
      <c r="AH20" s="29">
        <v>5.13</v>
      </c>
      <c r="AI20" s="28">
        <v>4.57</v>
      </c>
      <c r="AJ20" s="37">
        <f t="shared" si="2"/>
        <v>-0.10916179337231957</v>
      </c>
      <c r="AK20" s="37">
        <f t="shared" si="3"/>
        <v>-0.27113237639553422</v>
      </c>
      <c r="AM20" s="64"/>
    </row>
    <row r="21" spans="1:39" s="29" customFormat="1" x14ac:dyDescent="0.25">
      <c r="A21" s="29" t="s">
        <v>70</v>
      </c>
      <c r="B21" s="29">
        <v>1.2070000000000001</v>
      </c>
      <c r="C21" s="29">
        <v>1.367</v>
      </c>
      <c r="D21" s="29">
        <v>1.4194</v>
      </c>
      <c r="E21" s="29">
        <v>0.98841999999999997</v>
      </c>
      <c r="F21" s="29">
        <v>1.9958800000000001</v>
      </c>
      <c r="G21" s="29">
        <v>2.4950000000000001</v>
      </c>
      <c r="H21" s="29">
        <v>2.22953</v>
      </c>
      <c r="I21" s="29">
        <v>1.81</v>
      </c>
      <c r="J21" s="29">
        <v>2.36</v>
      </c>
      <c r="K21" s="29">
        <v>3.06</v>
      </c>
      <c r="L21" s="29">
        <f>3.56+0.3+0.79+0.12-0.01</f>
        <v>4.7600000000000007</v>
      </c>
      <c r="M21" s="29">
        <v>5.61</v>
      </c>
      <c r="N21" s="29">
        <v>6.55</v>
      </c>
      <c r="O21" s="29">
        <v>6.07</v>
      </c>
      <c r="P21" s="29">
        <v>9.42</v>
      </c>
      <c r="Q21" s="29">
        <v>8.9700000000000006</v>
      </c>
      <c r="R21" s="29">
        <v>9.7200000000000006</v>
      </c>
      <c r="S21" s="29">
        <v>7.04</v>
      </c>
      <c r="T21" s="29">
        <v>6.07</v>
      </c>
      <c r="U21" s="29">
        <v>5.63</v>
      </c>
      <c r="V21" s="29">
        <v>5.0999999999999996</v>
      </c>
      <c r="W21" s="1">
        <v>3.92</v>
      </c>
      <c r="X21" s="29">
        <v>3.36</v>
      </c>
      <c r="Y21" s="29">
        <v>3</v>
      </c>
      <c r="Z21" s="29">
        <v>2.3199999999999998</v>
      </c>
      <c r="AA21" s="29">
        <v>1.7</v>
      </c>
      <c r="AB21" s="29">
        <v>1.53</v>
      </c>
      <c r="AC21" s="29">
        <v>1.01</v>
      </c>
      <c r="AD21" s="29">
        <v>0.95</v>
      </c>
      <c r="AE21" s="29">
        <v>2.34</v>
      </c>
      <c r="AF21" s="29">
        <v>3.34</v>
      </c>
      <c r="AG21" s="29">
        <v>2.78</v>
      </c>
      <c r="AH21" s="29">
        <v>3.43</v>
      </c>
      <c r="AI21" s="28">
        <v>3.03</v>
      </c>
      <c r="AJ21" s="37">
        <f t="shared" si="2"/>
        <v>-0.11661807580174932</v>
      </c>
      <c r="AK21" s="37">
        <f t="shared" si="3"/>
        <v>0.29487179487179493</v>
      </c>
      <c r="AM21" s="64"/>
    </row>
    <row r="22" spans="1:39" s="29" customFormat="1" ht="30" x14ac:dyDescent="0.25">
      <c r="A22" s="51" t="s">
        <v>192</v>
      </c>
      <c r="B22" s="29">
        <v>8.9380000000000006</v>
      </c>
      <c r="C22" s="29">
        <v>7.6440000000000001</v>
      </c>
      <c r="D22" s="29">
        <v>7.5858400000000001</v>
      </c>
      <c r="E22" s="29">
        <v>7.5584699999999998</v>
      </c>
      <c r="F22" s="29">
        <v>7.7574069999999997</v>
      </c>
      <c r="G22" s="29">
        <v>6.7110000000000003</v>
      </c>
      <c r="H22" s="29">
        <v>6.7125700000000004</v>
      </c>
      <c r="I22" s="29">
        <v>6.97</v>
      </c>
      <c r="J22" s="29">
        <v>6.67</v>
      </c>
      <c r="K22" s="29">
        <v>5.43</v>
      </c>
      <c r="L22" s="29">
        <v>5.43</v>
      </c>
      <c r="M22" s="29">
        <f>5.4+1.17+0.12</f>
        <v>6.69</v>
      </c>
      <c r="N22" s="29">
        <v>6.03</v>
      </c>
      <c r="O22" s="29">
        <v>3.64</v>
      </c>
      <c r="P22" s="29">
        <v>5.24</v>
      </c>
      <c r="Q22" s="29">
        <f>3.66+1.24+0.31+0.01</f>
        <v>5.22</v>
      </c>
      <c r="R22" s="29">
        <v>3.69</v>
      </c>
      <c r="S22" s="29">
        <f>2.63+1.42+0.37+0.07</f>
        <v>4.49</v>
      </c>
      <c r="T22" s="29">
        <v>4.5199999999999996</v>
      </c>
      <c r="U22" s="29">
        <v>5.66</v>
      </c>
      <c r="V22" s="29">
        <f>3.7+0.07+0.37+1.54</f>
        <v>5.68</v>
      </c>
      <c r="W22" s="1">
        <v>5.2</v>
      </c>
      <c r="X22" s="29">
        <f>3.46+0.37+1.69+0.07</f>
        <v>5.59</v>
      </c>
      <c r="Y22" s="29">
        <v>5.15</v>
      </c>
      <c r="Z22" s="29">
        <v>6.15</v>
      </c>
      <c r="AA22" s="29">
        <f>2.67+0.09+0.4+2</f>
        <v>5.16</v>
      </c>
      <c r="AB22" s="29">
        <f>2.42+2.17+0.39+0.09</f>
        <v>5.0699999999999994</v>
      </c>
      <c r="AC22" s="29">
        <v>4.3099999999999996</v>
      </c>
      <c r="AD22" s="29">
        <v>4.16</v>
      </c>
      <c r="AE22" s="29">
        <v>5.96</v>
      </c>
      <c r="AF22" s="29">
        <v>6.34</v>
      </c>
      <c r="AG22" s="29">
        <v>7.01</v>
      </c>
      <c r="AH22" s="29">
        <v>6.93</v>
      </c>
      <c r="AI22" s="28">
        <v>8.4</v>
      </c>
      <c r="AJ22" s="37">
        <f t="shared" si="2"/>
        <v>0.21212121212121215</v>
      </c>
      <c r="AK22" s="37">
        <f t="shared" si="3"/>
        <v>0.40939597315436238</v>
      </c>
      <c r="AM22" s="64"/>
    </row>
    <row r="23" spans="1:39" s="27" customFormat="1" ht="15.6" x14ac:dyDescent="0.3">
      <c r="A23" s="27" t="s">
        <v>32</v>
      </c>
      <c r="B23" s="27">
        <v>42.219000000000001</v>
      </c>
      <c r="C23" s="27">
        <v>41.014000000000003</v>
      </c>
      <c r="D23" s="27">
        <v>36.975810000000003</v>
      </c>
      <c r="E23" s="27">
        <v>39.468739999999997</v>
      </c>
      <c r="F23" s="27">
        <v>43.807560000000002</v>
      </c>
      <c r="G23" s="27">
        <v>48.09</v>
      </c>
      <c r="H23" s="27">
        <v>46.284460000000003</v>
      </c>
      <c r="I23" s="27">
        <v>48.25</v>
      </c>
      <c r="J23" s="27">
        <v>52.99</v>
      </c>
      <c r="K23" s="27">
        <v>56.17</v>
      </c>
      <c r="L23" s="27">
        <v>54.11</v>
      </c>
      <c r="M23" s="27">
        <v>64.08</v>
      </c>
      <c r="N23" s="27">
        <v>69.94</v>
      </c>
      <c r="O23" s="27">
        <v>75.05</v>
      </c>
      <c r="P23" s="27">
        <v>67.92</v>
      </c>
      <c r="Q23" s="27">
        <v>73.069999999999993</v>
      </c>
      <c r="R23" s="27">
        <v>79.290000000000006</v>
      </c>
      <c r="S23" s="27">
        <v>90.5</v>
      </c>
      <c r="T23" s="27">
        <v>96.21</v>
      </c>
      <c r="U23" s="27">
        <v>89.89</v>
      </c>
      <c r="V23" s="27">
        <v>88.42</v>
      </c>
      <c r="W23" s="4">
        <v>93.65</v>
      </c>
      <c r="X23" s="27">
        <v>97.03</v>
      </c>
      <c r="Y23" s="27">
        <v>103.81</v>
      </c>
      <c r="Z23" s="27">
        <v>114.84</v>
      </c>
      <c r="AA23" s="27">
        <v>132.69</v>
      </c>
      <c r="AB23" s="27">
        <v>128.09</v>
      </c>
      <c r="AC23" s="27">
        <v>139.29</v>
      </c>
      <c r="AD23" s="27">
        <v>125.03</v>
      </c>
      <c r="AE23" s="27">
        <v>124.21</v>
      </c>
      <c r="AF23" s="27">
        <v>129.62</v>
      </c>
      <c r="AG23" s="27">
        <v>137.94999999999999</v>
      </c>
      <c r="AH23" s="27">
        <v>153.43</v>
      </c>
      <c r="AI23" s="34">
        <v>145.30000000000001</v>
      </c>
      <c r="AJ23" s="36">
        <f t="shared" si="2"/>
        <v>-5.2988333441960522E-2</v>
      </c>
      <c r="AK23" s="36">
        <f t="shared" si="3"/>
        <v>0.16979309234361173</v>
      </c>
      <c r="AM23" s="63"/>
    </row>
    <row r="24" spans="1:39" s="29" customFormat="1" ht="15.6" x14ac:dyDescent="0.3">
      <c r="A24" s="29" t="s">
        <v>193</v>
      </c>
      <c r="B24" s="29">
        <v>11.003</v>
      </c>
      <c r="C24" s="29">
        <v>13.885</v>
      </c>
      <c r="D24" s="29">
        <v>14.427960000000001</v>
      </c>
      <c r="E24" s="29">
        <v>15.008649999999999</v>
      </c>
      <c r="F24" s="29">
        <v>14.36107</v>
      </c>
      <c r="G24" s="29">
        <v>16.079999999999998</v>
      </c>
      <c r="H24" s="29">
        <v>13.48868</v>
      </c>
      <c r="I24" s="29">
        <v>14.02</v>
      </c>
      <c r="J24" s="29">
        <v>18.34</v>
      </c>
      <c r="K24" s="29">
        <v>17.579999999999998</v>
      </c>
      <c r="L24" s="29">
        <v>19.309999999999999</v>
      </c>
      <c r="M24" s="29">
        <v>22.97</v>
      </c>
      <c r="N24" s="29">
        <v>22.94</v>
      </c>
      <c r="O24" s="29">
        <f>24.52-0.8</f>
        <v>23.72</v>
      </c>
      <c r="P24" s="29">
        <v>27.47</v>
      </c>
      <c r="Q24" s="29">
        <v>29.43</v>
      </c>
      <c r="R24" s="29">
        <v>32.31</v>
      </c>
      <c r="S24" s="29">
        <v>34</v>
      </c>
      <c r="T24" s="29">
        <v>37</v>
      </c>
      <c r="U24" s="29">
        <v>33.11</v>
      </c>
      <c r="V24" s="29">
        <v>34.18</v>
      </c>
      <c r="W24" s="1">
        <v>34.96</v>
      </c>
      <c r="X24" s="29">
        <v>43.19</v>
      </c>
      <c r="Y24" s="29">
        <v>46.25</v>
      </c>
      <c r="Z24" s="29">
        <v>48.65</v>
      </c>
      <c r="AA24" s="29">
        <v>52.62</v>
      </c>
      <c r="AB24" s="29">
        <v>56.91</v>
      </c>
      <c r="AC24" s="29">
        <v>59.18</v>
      </c>
      <c r="AD24" s="29">
        <v>62.35</v>
      </c>
      <c r="AE24" s="29">
        <v>51.05</v>
      </c>
      <c r="AF24" s="29">
        <v>58.64</v>
      </c>
      <c r="AG24" s="29">
        <v>61.62</v>
      </c>
      <c r="AH24" s="29">
        <v>70.72</v>
      </c>
      <c r="AI24" s="28">
        <v>71.260000000000005</v>
      </c>
      <c r="AJ24" s="37">
        <f t="shared" si="2"/>
        <v>7.6357466063350365E-3</v>
      </c>
      <c r="AK24" s="37">
        <f t="shared" si="3"/>
        <v>0.3958863858961803</v>
      </c>
      <c r="AL24" s="27"/>
      <c r="AM24" s="64"/>
    </row>
    <row r="25" spans="1:39" s="29" customFormat="1" x14ac:dyDescent="0.25">
      <c r="A25" s="29" t="s">
        <v>71</v>
      </c>
      <c r="B25" s="29">
        <v>4.7679999999999998</v>
      </c>
      <c r="C25" s="29">
        <v>4.1550000000000002</v>
      </c>
      <c r="D25" s="29">
        <v>4.4484300000000001</v>
      </c>
      <c r="E25" s="29">
        <v>4.59239</v>
      </c>
      <c r="F25" s="29">
        <v>5.8044000000000002</v>
      </c>
      <c r="G25" s="29">
        <v>4.3739999999999997</v>
      </c>
      <c r="H25" s="29">
        <v>6.7157099999999996</v>
      </c>
      <c r="I25" s="29">
        <v>7.23</v>
      </c>
      <c r="J25" s="29">
        <v>5.52</v>
      </c>
      <c r="K25" s="29">
        <v>6.82</v>
      </c>
      <c r="L25" s="29">
        <v>8.7799999999999994</v>
      </c>
      <c r="M25" s="29">
        <v>8.02</v>
      </c>
      <c r="N25" s="29">
        <v>10.26</v>
      </c>
      <c r="O25" s="29">
        <v>9.66</v>
      </c>
      <c r="P25" s="29">
        <v>8.9499999999999993</v>
      </c>
      <c r="Q25" s="29">
        <v>17.14</v>
      </c>
      <c r="R25" s="29">
        <v>18.09</v>
      </c>
      <c r="S25" s="29">
        <v>15.85</v>
      </c>
      <c r="T25" s="29">
        <v>16.52</v>
      </c>
      <c r="U25" s="29">
        <v>16.5</v>
      </c>
      <c r="V25" s="29">
        <v>20.87</v>
      </c>
      <c r="W25" s="1">
        <v>18.48</v>
      </c>
      <c r="X25" s="29">
        <v>16.079999999999998</v>
      </c>
      <c r="Y25" s="29">
        <v>15.89</v>
      </c>
      <c r="Z25" s="29">
        <v>15.49</v>
      </c>
      <c r="AA25" s="29">
        <v>14.84</v>
      </c>
      <c r="AB25" s="29">
        <v>14.36</v>
      </c>
      <c r="AC25" s="29">
        <v>14.46</v>
      </c>
      <c r="AD25" s="29">
        <v>13.69</v>
      </c>
      <c r="AE25" s="29">
        <v>14.5</v>
      </c>
      <c r="AF25" s="29">
        <v>13.72</v>
      </c>
      <c r="AG25" s="29">
        <v>16.93</v>
      </c>
      <c r="AH25" s="29">
        <v>17.170000000000002</v>
      </c>
      <c r="AI25" s="28">
        <v>11.29</v>
      </c>
      <c r="AJ25" s="37">
        <f t="shared" si="2"/>
        <v>-0.34245777518928378</v>
      </c>
      <c r="AK25" s="37">
        <f t="shared" si="3"/>
        <v>-0.22137931034482761</v>
      </c>
      <c r="AM25" s="64"/>
    </row>
    <row r="26" spans="1:39" s="29" customFormat="1" ht="30" x14ac:dyDescent="0.25">
      <c r="A26" s="51" t="s">
        <v>194</v>
      </c>
      <c r="B26" s="29">
        <v>21.260999999999999</v>
      </c>
      <c r="C26" s="29">
        <v>17.181000000000001</v>
      </c>
      <c r="D26" s="29">
        <v>12.296720000000001</v>
      </c>
      <c r="E26" s="29">
        <v>14.35238</v>
      </c>
      <c r="F26" s="29">
        <v>15.56607</v>
      </c>
      <c r="G26" s="29">
        <v>21.100999999999999</v>
      </c>
      <c r="H26" s="29">
        <v>19.199719999999999</v>
      </c>
      <c r="I26" s="29">
        <v>16.91</v>
      </c>
      <c r="J26" s="29">
        <v>18.29</v>
      </c>
      <c r="K26" s="29">
        <v>21.29</v>
      </c>
      <c r="L26" s="29">
        <v>14.26</v>
      </c>
      <c r="M26" s="29">
        <f>19.09</f>
        <v>19.09</v>
      </c>
      <c r="N26" s="29">
        <v>22.7</v>
      </c>
      <c r="O26" s="29">
        <v>29.88</v>
      </c>
      <c r="P26" s="29">
        <v>19.13</v>
      </c>
      <c r="Q26" s="29">
        <v>15.21</v>
      </c>
      <c r="R26" s="29">
        <v>17.96</v>
      </c>
      <c r="S26" s="29">
        <v>29.99</v>
      </c>
      <c r="T26" s="29">
        <v>29.54</v>
      </c>
      <c r="U26" s="29">
        <v>23</v>
      </c>
      <c r="V26" s="29">
        <v>18.13</v>
      </c>
      <c r="W26" s="29">
        <v>27.15</v>
      </c>
      <c r="X26" s="29">
        <v>25.12</v>
      </c>
      <c r="Y26" s="29">
        <v>29.53</v>
      </c>
      <c r="Z26" s="29">
        <v>35.31</v>
      </c>
      <c r="AA26" s="29">
        <v>49.54</v>
      </c>
      <c r="AB26" s="29">
        <v>37.54</v>
      </c>
      <c r="AC26" s="29">
        <v>46.52</v>
      </c>
      <c r="AD26" s="29">
        <v>29.67</v>
      </c>
      <c r="AE26" s="29">
        <f>40.41+0.2</f>
        <v>40.61</v>
      </c>
      <c r="AF26" s="29">
        <v>38.659999999999997</v>
      </c>
      <c r="AG26" s="29">
        <v>40.68</v>
      </c>
      <c r="AH26" s="29">
        <v>42.6</v>
      </c>
      <c r="AI26" s="28">
        <v>44.63</v>
      </c>
      <c r="AJ26" s="37">
        <f t="shared" si="2"/>
        <v>4.7652582159624535E-2</v>
      </c>
      <c r="AK26" s="37">
        <f t="shared" si="3"/>
        <v>9.899039645407548E-2</v>
      </c>
      <c r="AM26" s="64"/>
    </row>
    <row r="27" spans="1:39" s="29" customFormat="1" ht="30" x14ac:dyDescent="0.25">
      <c r="A27" s="51" t="s">
        <v>195</v>
      </c>
      <c r="B27" s="29">
        <v>4.2080000000000002</v>
      </c>
      <c r="C27" s="29">
        <v>5.1839999999999993</v>
      </c>
      <c r="D27" s="29">
        <v>5.2478500000000006</v>
      </c>
      <c r="E27" s="29">
        <v>5.39567</v>
      </c>
      <c r="F27" s="29">
        <v>7.5450400000000002</v>
      </c>
      <c r="G27" s="29">
        <v>5.9180000000000001</v>
      </c>
      <c r="H27" s="29">
        <v>6.2801999999999998</v>
      </c>
      <c r="I27" s="29">
        <v>9.57</v>
      </c>
      <c r="J27" s="29">
        <v>9.8800000000000008</v>
      </c>
      <c r="K27" s="29">
        <v>10.28</v>
      </c>
      <c r="L27" s="29">
        <v>11.76</v>
      </c>
      <c r="M27" s="29">
        <v>14</v>
      </c>
      <c r="N27" s="29">
        <v>14.04</v>
      </c>
      <c r="O27" s="29">
        <v>11.469999999999999</v>
      </c>
      <c r="P27" s="29">
        <v>12.370000000000001</v>
      </c>
      <c r="Q27" s="29">
        <v>11.29</v>
      </c>
      <c r="R27" s="29">
        <v>10.93</v>
      </c>
      <c r="S27" s="29">
        <v>10.66</v>
      </c>
      <c r="T27" s="29">
        <v>13.15</v>
      </c>
      <c r="U27" s="29">
        <v>17.28</v>
      </c>
      <c r="V27" s="29">
        <v>15.24</v>
      </c>
      <c r="W27" s="29">
        <v>13.059999999999999</v>
      </c>
      <c r="X27" s="29">
        <v>12.64</v>
      </c>
      <c r="Y27" s="29">
        <v>12.14</v>
      </c>
      <c r="Z27" s="29">
        <v>15.39</v>
      </c>
      <c r="AA27" s="29">
        <v>15.69</v>
      </c>
      <c r="AB27" s="29">
        <v>19.28</v>
      </c>
      <c r="AC27" s="29">
        <v>19.13</v>
      </c>
      <c r="AD27" s="29">
        <v>19.32</v>
      </c>
      <c r="AE27" s="29">
        <v>18.05</v>
      </c>
      <c r="AF27" s="29">
        <v>18.600000000000001</v>
      </c>
      <c r="AG27" s="29">
        <v>18.72</v>
      </c>
      <c r="AH27" s="29">
        <v>22.94</v>
      </c>
      <c r="AI27" s="28">
        <v>18.12</v>
      </c>
      <c r="AJ27" s="37">
        <f t="shared" si="2"/>
        <v>-0.21011333914559716</v>
      </c>
      <c r="AK27" s="37">
        <f t="shared" si="3"/>
        <v>3.8781163434902233E-3</v>
      </c>
      <c r="AM27" s="64"/>
    </row>
    <row r="28" spans="1:39" s="27" customFormat="1" ht="15.6" x14ac:dyDescent="0.3">
      <c r="A28" s="27" t="s">
        <v>33</v>
      </c>
      <c r="B28" s="27">
        <v>93.259</v>
      </c>
      <c r="C28" s="27">
        <v>97.787999999999997</v>
      </c>
      <c r="D28" s="27">
        <v>92.830439999999996</v>
      </c>
      <c r="E28" s="27">
        <v>95.736189999999993</v>
      </c>
      <c r="F28" s="27">
        <v>101.75138</v>
      </c>
      <c r="G28" s="27">
        <v>107.42700000000001</v>
      </c>
      <c r="H28" s="27">
        <v>105.8686</v>
      </c>
      <c r="I28" s="27">
        <f>I17+I19+I23</f>
        <v>108.37</v>
      </c>
      <c r="J28" s="27">
        <f>J17+J19+J23</f>
        <v>117.09</v>
      </c>
      <c r="K28" s="27">
        <v>121.96</v>
      </c>
      <c r="L28" s="27">
        <v>121.2</v>
      </c>
      <c r="M28" s="27">
        <v>133.16999999999999</v>
      </c>
      <c r="N28" s="27">
        <v>141.46</v>
      </c>
      <c r="O28" s="27">
        <v>143.83000000000001</v>
      </c>
      <c r="P28" s="27">
        <v>140.91999999999999</v>
      </c>
      <c r="Q28" s="27">
        <v>143.09</v>
      </c>
      <c r="R28" s="27">
        <v>147.96</v>
      </c>
      <c r="S28" s="27">
        <v>150.32</v>
      </c>
      <c r="T28" s="27">
        <v>157.68</v>
      </c>
      <c r="U28" s="27">
        <v>153.13</v>
      </c>
      <c r="V28" s="27">
        <v>151.63999999999999</v>
      </c>
      <c r="W28" s="4">
        <v>156.47999999999999</v>
      </c>
      <c r="X28" s="27">
        <v>160.27000000000001</v>
      </c>
      <c r="Y28" s="27">
        <v>167.78</v>
      </c>
      <c r="Z28" s="27">
        <v>182.17</v>
      </c>
      <c r="AA28" s="27">
        <v>205.31</v>
      </c>
      <c r="AB28" s="27">
        <v>202.37</v>
      </c>
      <c r="AC28" s="27">
        <v>212.63</v>
      </c>
      <c r="AD28" s="27">
        <v>199.25</v>
      </c>
      <c r="AE28" s="27">
        <f>AE17+AE19+AE23</f>
        <v>201.39999999999998</v>
      </c>
      <c r="AF28" s="27">
        <f>SUM(AF23,AF19,AF17)</f>
        <v>207.87</v>
      </c>
      <c r="AG28" s="27">
        <v>217.14</v>
      </c>
      <c r="AH28" s="27">
        <v>234.16</v>
      </c>
      <c r="AI28" s="34">
        <v>227.73</v>
      </c>
      <c r="AJ28" s="36">
        <f t="shared" si="2"/>
        <v>-2.7459856508370351E-2</v>
      </c>
      <c r="AK28" s="36">
        <f t="shared" si="3"/>
        <v>0.13073485600794443</v>
      </c>
      <c r="AM28" s="63"/>
    </row>
    <row r="29" spans="1:39" s="29" customFormat="1" x14ac:dyDescent="0.25">
      <c r="A29" s="29" t="s">
        <v>34</v>
      </c>
      <c r="B29" s="29">
        <f t="shared" ref="B29:AE29" si="4">B17*1000000/7198570</f>
        <v>5.5213743840790599</v>
      </c>
      <c r="C29" s="29">
        <f t="shared" si="4"/>
        <v>5.9125631896334969</v>
      </c>
      <c r="D29" s="29">
        <f t="shared" si="4"/>
        <v>5.8100497737745131</v>
      </c>
      <c r="E29" s="29">
        <f t="shared" si="4"/>
        <v>5.9851345475559725</v>
      </c>
      <c r="F29" s="29">
        <f t="shared" si="4"/>
        <v>6.1014826555829842</v>
      </c>
      <c r="G29" s="29">
        <f t="shared" si="4"/>
        <v>6.3293126273690472</v>
      </c>
      <c r="H29" s="29">
        <f t="shared" si="4"/>
        <v>6.4326373154668222</v>
      </c>
      <c r="I29" s="29">
        <f t="shared" si="4"/>
        <v>6.4971237342972286</v>
      </c>
      <c r="J29" s="29">
        <f t="shared" si="4"/>
        <v>6.7555083856932701</v>
      </c>
      <c r="K29" s="29">
        <f t="shared" si="4"/>
        <v>7.1444745275797832</v>
      </c>
      <c r="L29" s="29">
        <f t="shared" si="4"/>
        <v>7.2833910068249663</v>
      </c>
      <c r="M29" s="29">
        <f t="shared" si="4"/>
        <v>7.3083959730890999</v>
      </c>
      <c r="N29" s="29">
        <f t="shared" si="4"/>
        <v>7.633460534522829</v>
      </c>
      <c r="O29" s="29">
        <f t="shared" si="4"/>
        <v>7.4806524073531273</v>
      </c>
      <c r="P29" s="29">
        <f t="shared" si="4"/>
        <v>7.6056772386737919</v>
      </c>
      <c r="Q29" s="29">
        <f t="shared" si="4"/>
        <v>7.3083959730890999</v>
      </c>
      <c r="R29" s="29">
        <f t="shared" si="4"/>
        <v>7.2292135799193451</v>
      </c>
      <c r="S29" s="29">
        <f t="shared" si="4"/>
        <v>6.3415372775426233</v>
      </c>
      <c r="T29" s="29">
        <f t="shared" si="4"/>
        <v>6.7416167377687515</v>
      </c>
      <c r="U29" s="29">
        <f t="shared" si="4"/>
        <v>6.9277648199572974</v>
      </c>
      <c r="V29" s="29">
        <f t="shared" si="4"/>
        <v>7.0305630145987328</v>
      </c>
      <c r="W29" s="29">
        <f t="shared" si="4"/>
        <v>7.2306027447117973</v>
      </c>
      <c r="X29" s="29">
        <f t="shared" si="4"/>
        <v>7.3361792689381362</v>
      </c>
      <c r="Y29" s="29">
        <f t="shared" si="4"/>
        <v>7.5987314147115326</v>
      </c>
      <c r="Z29" s="29">
        <f t="shared" si="4"/>
        <v>7.7154212572774874</v>
      </c>
      <c r="AA29" s="29">
        <f t="shared" si="4"/>
        <v>8.3044271292770642</v>
      </c>
      <c r="AB29" s="29">
        <f t="shared" si="4"/>
        <v>8.3961120055788854</v>
      </c>
      <c r="AC29" s="29">
        <f t="shared" si="4"/>
        <v>8.4864077170882553</v>
      </c>
      <c r="AD29" s="29">
        <f t="shared" si="4"/>
        <v>8.6156000427862764</v>
      </c>
      <c r="AE29" s="29">
        <f t="shared" si="4"/>
        <v>8.6989499303333861</v>
      </c>
      <c r="AF29" s="29">
        <f>AF17*1000000/7198570</f>
        <v>8.7072849190880959</v>
      </c>
      <c r="AG29" s="29">
        <f>AG17*1000000/7198570</f>
        <v>8.8767630237672197</v>
      </c>
      <c r="AH29" s="29">
        <f>AH17*1000000/7198570</f>
        <v>9.0629111059557648</v>
      </c>
      <c r="AI29" s="28">
        <f>AI17*1000000/7198570</f>
        <v>9.2282217162575364</v>
      </c>
      <c r="AJ29" s="37">
        <f t="shared" si="2"/>
        <v>1.8240343347639909E-2</v>
      </c>
      <c r="AK29" s="37">
        <f t="shared" si="3"/>
        <v>6.0843181092302911E-2</v>
      </c>
      <c r="AM29" s="64"/>
    </row>
    <row r="30" spans="1:39" x14ac:dyDescent="0.25">
      <c r="AJ30" s="1"/>
      <c r="AK30" s="1"/>
    </row>
    <row r="31" spans="1:39" x14ac:dyDescent="0.25">
      <c r="AJ31" s="39"/>
      <c r="AK31" s="32"/>
    </row>
    <row r="32" spans="1:39" x14ac:dyDescent="0.25">
      <c r="AJ32" s="39"/>
      <c r="AK32" s="32"/>
    </row>
    <row r="33" spans="37:37" x14ac:dyDescent="0.25">
      <c r="AK33" s="5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3"/>
  <sheetViews>
    <sheetView zoomScaleNormal="100" workbookViewId="0">
      <pane xSplit="1" ySplit="1" topLeftCell="Z2" activePane="bottomRight" state="frozenSplit"/>
      <selection pane="topRight" activeCell="B1" sqref="B1"/>
      <selection pane="bottomLeft" activeCell="A39" sqref="A39"/>
      <selection pane="bottomRight"/>
    </sheetView>
  </sheetViews>
  <sheetFormatPr defaultColWidth="10.54296875" defaultRowHeight="15" x14ac:dyDescent="0.25"/>
  <cols>
    <col min="1" max="1" width="40.08984375" style="1" customWidth="1"/>
    <col min="2" max="23" width="10.54296875" style="1" customWidth="1"/>
    <col min="24" max="24" width="9" style="1" customWidth="1"/>
    <col min="25" max="26" width="10.453125" style="1" customWidth="1"/>
    <col min="27" max="32" width="10.54296875" style="1" customWidth="1"/>
    <col min="33" max="33" width="10.54296875" style="8" customWidth="1"/>
    <col min="34" max="35" width="10" style="3" bestFit="1" customWidth="1"/>
    <col min="36" max="36" width="10.54296875" style="1" customWidth="1"/>
    <col min="37" max="16384" width="10.54296875" style="1"/>
  </cols>
  <sheetData>
    <row r="1" spans="1:35" s="4" customFormat="1" ht="15.6" x14ac:dyDescent="0.3">
      <c r="A1" s="29" t="s">
        <v>92</v>
      </c>
      <c r="B1" s="27" t="s">
        <v>76</v>
      </c>
      <c r="C1" s="27" t="s">
        <v>77</v>
      </c>
      <c r="D1" s="27" t="s">
        <v>78</v>
      </c>
      <c r="E1" s="27" t="s">
        <v>79</v>
      </c>
      <c r="F1" s="27" t="s">
        <v>80</v>
      </c>
      <c r="G1" s="27" t="s">
        <v>124</v>
      </c>
      <c r="H1" s="27" t="s">
        <v>125</v>
      </c>
      <c r="I1" s="27" t="s">
        <v>129</v>
      </c>
      <c r="J1" s="27" t="s">
        <v>130</v>
      </c>
      <c r="K1" s="27" t="s">
        <v>132</v>
      </c>
      <c r="L1" s="27" t="s">
        <v>134</v>
      </c>
      <c r="M1" s="27" t="s">
        <v>136</v>
      </c>
      <c r="N1" s="27" t="s">
        <v>138</v>
      </c>
      <c r="O1" s="27" t="s">
        <v>140</v>
      </c>
      <c r="P1" s="27" t="s">
        <v>142</v>
      </c>
      <c r="Q1" s="27" t="s">
        <v>144</v>
      </c>
      <c r="R1" s="27" t="s">
        <v>146</v>
      </c>
      <c r="S1" s="27" t="s">
        <v>159</v>
      </c>
      <c r="T1" s="27" t="s">
        <v>161</v>
      </c>
      <c r="U1" s="27" t="s">
        <v>163</v>
      </c>
      <c r="V1" s="27" t="s">
        <v>165</v>
      </c>
      <c r="W1" s="27" t="s">
        <v>167</v>
      </c>
      <c r="X1" s="27" t="s">
        <v>170</v>
      </c>
      <c r="Y1" s="27" t="s">
        <v>173</v>
      </c>
      <c r="Z1" s="27" t="s">
        <v>174</v>
      </c>
      <c r="AA1" s="27" t="s">
        <v>176</v>
      </c>
      <c r="AB1" s="27" t="s">
        <v>179</v>
      </c>
      <c r="AC1" s="27" t="s">
        <v>181</v>
      </c>
      <c r="AD1" s="27" t="s">
        <v>183</v>
      </c>
      <c r="AE1" s="27" t="s">
        <v>200</v>
      </c>
      <c r="AF1" s="27" t="s">
        <v>203</v>
      </c>
      <c r="AG1" s="34" t="s">
        <v>205</v>
      </c>
      <c r="AH1" s="38" t="s">
        <v>63</v>
      </c>
      <c r="AI1" s="38" t="s">
        <v>62</v>
      </c>
    </row>
    <row r="2" spans="1:35" s="9" customFormat="1" ht="15.6" x14ac:dyDescent="0.3">
      <c r="A2" s="9" t="s">
        <v>36</v>
      </c>
      <c r="AH2" s="10"/>
      <c r="AI2" s="10"/>
    </row>
    <row r="3" spans="1:35" s="77" customFormat="1" ht="15.6" x14ac:dyDescent="0.3">
      <c r="A3" s="55" t="s">
        <v>150</v>
      </c>
      <c r="B3" s="55">
        <v>-0.79154000000000002</v>
      </c>
      <c r="C3" s="55">
        <v>1.47777</v>
      </c>
      <c r="D3" s="55">
        <v>1.22821</v>
      </c>
      <c r="E3" s="55">
        <v>2.0459999999999998</v>
      </c>
      <c r="F3" s="55">
        <v>0.82</v>
      </c>
      <c r="G3" s="55">
        <v>1.49</v>
      </c>
      <c r="H3" s="55">
        <v>1.73</v>
      </c>
      <c r="I3" s="55">
        <v>4.629999999999999</v>
      </c>
      <c r="J3" s="55">
        <v>0.99</v>
      </c>
      <c r="K3" s="55">
        <v>1.7300000000000002</v>
      </c>
      <c r="L3" s="55">
        <f>4.79-K3-J3</f>
        <v>2.0699999999999994</v>
      </c>
      <c r="M3" s="55">
        <v>0.25</v>
      </c>
      <c r="N3" s="55">
        <v>1.08</v>
      </c>
      <c r="O3" s="55">
        <v>-2.0299999999999998</v>
      </c>
      <c r="P3" s="55">
        <v>1.08</v>
      </c>
      <c r="Q3" s="55">
        <v>-5.07</v>
      </c>
      <c r="R3" s="55">
        <v>3.31</v>
      </c>
      <c r="S3" s="55">
        <v>2.9499999999999997</v>
      </c>
      <c r="T3" s="55">
        <v>0.94</v>
      </c>
      <c r="U3" s="55">
        <f>1.73-0.281-0.01</f>
        <v>1.4389999999999998</v>
      </c>
      <c r="V3" s="55">
        <v>-0.48</v>
      </c>
      <c r="W3" s="55">
        <v>1.8</v>
      </c>
      <c r="X3" s="55">
        <v>0.01</v>
      </c>
      <c r="Y3" s="55">
        <f>0.18</f>
        <v>0.18</v>
      </c>
      <c r="Z3" s="55">
        <v>1.3</v>
      </c>
      <c r="AA3" s="55">
        <v>0.87</v>
      </c>
      <c r="AB3" s="55">
        <v>0.81</v>
      </c>
      <c r="AC3" s="55">
        <f>0.16+0.32</f>
        <v>0.48</v>
      </c>
      <c r="AD3" s="55">
        <v>1.51</v>
      </c>
      <c r="AE3" s="55">
        <v>1.91</v>
      </c>
      <c r="AF3" s="55">
        <v>2.65</v>
      </c>
      <c r="AG3" s="53">
        <v>2.64</v>
      </c>
      <c r="AH3" s="76">
        <f>IFERROR(AG3/AF3-1,"-")</f>
        <v>-3.7735849056602655E-3</v>
      </c>
      <c r="AI3" s="76">
        <f>IFERROR(AG3/AC3-1,"-")</f>
        <v>4.5000000000000009</v>
      </c>
    </row>
    <row r="4" spans="1:35" s="77" customFormat="1" ht="15.6" x14ac:dyDescent="0.3">
      <c r="A4" s="55" t="s">
        <v>37</v>
      </c>
      <c r="B4" s="55">
        <v>2.38307</v>
      </c>
      <c r="C4" s="55">
        <v>-0.80447999999999997</v>
      </c>
      <c r="D4" s="55">
        <v>1.0454000000000001</v>
      </c>
      <c r="E4" s="55">
        <v>-0.13700000000000001</v>
      </c>
      <c r="F4" s="55">
        <v>2.86</v>
      </c>
      <c r="G4" s="55">
        <v>1.26</v>
      </c>
      <c r="H4" s="55">
        <v>-2.09</v>
      </c>
      <c r="I4" s="55">
        <v>-2.2300000000000004</v>
      </c>
      <c r="J4" s="55">
        <v>-1.19</v>
      </c>
      <c r="K4" s="55">
        <v>-1.96</v>
      </c>
      <c r="L4" s="55">
        <f>-3.28-J4-K4</f>
        <v>-0.12999999999999989</v>
      </c>
      <c r="M4" s="55">
        <v>8.98</v>
      </c>
      <c r="N4" s="55">
        <v>-0.04</v>
      </c>
      <c r="O4" s="55">
        <v>-7.56</v>
      </c>
      <c r="P4" s="55">
        <v>-0.11</v>
      </c>
      <c r="Q4" s="55">
        <v>10.31</v>
      </c>
      <c r="R4" s="55">
        <v>-2.56</v>
      </c>
      <c r="S4" s="55">
        <v>0.19</v>
      </c>
      <c r="T4" s="55">
        <v>-3.91</v>
      </c>
      <c r="U4" s="55">
        <f>4.37+0.68-0.07+1.48</f>
        <v>6.4599999999999991</v>
      </c>
      <c r="V4" s="55">
        <v>-6</v>
      </c>
      <c r="W4" s="55">
        <v>-0.06</v>
      </c>
      <c r="X4" s="55">
        <v>2.39</v>
      </c>
      <c r="Y4" s="55">
        <v>6.11</v>
      </c>
      <c r="Z4" s="55">
        <v>-6.33</v>
      </c>
      <c r="AA4" s="55">
        <v>2.31</v>
      </c>
      <c r="AB4" s="55">
        <v>5.15</v>
      </c>
      <c r="AC4" s="55">
        <f>13.64+0.85+0.73</f>
        <v>15.22</v>
      </c>
      <c r="AD4" s="55">
        <v>-8.8699999999999992</v>
      </c>
      <c r="AE4" s="55">
        <f>3.84-0.15</f>
        <v>3.69</v>
      </c>
      <c r="AF4" s="55">
        <f>-8.38-0.06</f>
        <v>-8.4400000000000013</v>
      </c>
      <c r="AG4" s="53">
        <v>12.53</v>
      </c>
      <c r="AH4" s="76">
        <f t="shared" ref="AH4:AH14" si="0">IFERROR(AG4/AF4-1,"-")</f>
        <v>-2.4845971563981042</v>
      </c>
      <c r="AI4" s="76">
        <f t="shared" ref="AI4:AI14" si="1">IFERROR(AG4/AC4-1,"-")</f>
        <v>-0.17674113009198433</v>
      </c>
    </row>
    <row r="5" spans="1:35" x14ac:dyDescent="0.25">
      <c r="A5" s="29" t="s">
        <v>38</v>
      </c>
      <c r="B5" s="70">
        <v>1.03</v>
      </c>
      <c r="C5" s="70">
        <v>1.00759</v>
      </c>
      <c r="D5" s="70">
        <v>1.12782</v>
      </c>
      <c r="E5" s="70">
        <v>1.2889999999999999</v>
      </c>
      <c r="F5" s="70">
        <v>1.2347699999999999</v>
      </c>
      <c r="G5" s="70">
        <v>1.22</v>
      </c>
      <c r="H5" s="70">
        <v>1.28</v>
      </c>
      <c r="I5" s="70">
        <v>1.2952300000000003</v>
      </c>
      <c r="J5" s="70">
        <v>1.5</v>
      </c>
      <c r="K5" s="70">
        <v>1.6099999999999999</v>
      </c>
      <c r="L5" s="70">
        <f>4.79-J5-K5</f>
        <v>1.6800000000000002</v>
      </c>
      <c r="M5" s="70">
        <v>2.0499999999999998</v>
      </c>
      <c r="N5" s="70">
        <v>1.98</v>
      </c>
      <c r="O5" s="70">
        <v>2.09</v>
      </c>
      <c r="P5" s="70">
        <v>1.99</v>
      </c>
      <c r="Q5" s="70">
        <v>2.23</v>
      </c>
      <c r="R5" s="70">
        <v>2.2999999999999998</v>
      </c>
      <c r="S5" s="70">
        <v>2.2400000000000002</v>
      </c>
      <c r="T5" s="70">
        <v>2.4500000000000002</v>
      </c>
      <c r="U5" s="70">
        <f>2.54+0.08+0.13</f>
        <v>2.75</v>
      </c>
      <c r="V5" s="70">
        <v>2.57</v>
      </c>
      <c r="W5" s="70">
        <v>2.61</v>
      </c>
      <c r="X5" s="70">
        <v>2.15</v>
      </c>
      <c r="Y5" s="70">
        <v>2.9200000000000004</v>
      </c>
      <c r="Z5" s="70">
        <v>2.68</v>
      </c>
      <c r="AA5" s="70">
        <v>3</v>
      </c>
      <c r="AB5" s="70">
        <v>2.88</v>
      </c>
      <c r="AC5" s="70">
        <f>2.57-0.51+0.71</f>
        <v>2.7699999999999996</v>
      </c>
      <c r="AD5" s="70">
        <v>2.93</v>
      </c>
      <c r="AE5" s="70">
        <v>3.09</v>
      </c>
      <c r="AF5" s="29">
        <v>3.04</v>
      </c>
      <c r="AG5" s="28">
        <v>3.08</v>
      </c>
      <c r="AH5" s="41">
        <f t="shared" si="0"/>
        <v>1.3157894736842035E-2</v>
      </c>
      <c r="AI5" s="41">
        <f t="shared" si="1"/>
        <v>0.11191335740072228</v>
      </c>
    </row>
    <row r="6" spans="1:35" x14ac:dyDescent="0.25">
      <c r="A6" s="29" t="s">
        <v>39</v>
      </c>
      <c r="B6" s="70">
        <v>0.25012000000000001</v>
      </c>
      <c r="C6" s="70">
        <v>-0.24448</v>
      </c>
      <c r="D6" s="70">
        <v>0.44131999999999999</v>
      </c>
      <c r="E6" s="70">
        <v>0.78</v>
      </c>
      <c r="F6" s="70">
        <v>-0.21937999999999999</v>
      </c>
      <c r="G6" s="70">
        <v>-0.6</v>
      </c>
      <c r="H6" s="70">
        <v>0.83</v>
      </c>
      <c r="I6" s="70">
        <v>-1.3306200000000001</v>
      </c>
      <c r="J6" s="70">
        <v>-0.03</v>
      </c>
      <c r="K6" s="70">
        <v>-0.37</v>
      </c>
      <c r="L6" s="70">
        <f>-0.28-K6-J6</f>
        <v>0.11999999999999997</v>
      </c>
      <c r="M6" s="70">
        <v>0.26</v>
      </c>
      <c r="N6" s="70">
        <v>0.01</v>
      </c>
      <c r="O6" s="70">
        <v>-0.2</v>
      </c>
      <c r="P6" s="70">
        <v>-2.37</v>
      </c>
      <c r="Q6" s="70">
        <v>-0.33</v>
      </c>
      <c r="R6" s="70">
        <v>-0.59</v>
      </c>
      <c r="S6" s="70">
        <v>-1.02</v>
      </c>
      <c r="T6" s="70">
        <v>0.26</v>
      </c>
      <c r="U6" s="70">
        <f>-0.16+1.69-0.6</f>
        <v>0.93</v>
      </c>
      <c r="V6" s="70">
        <v>0.75</v>
      </c>
      <c r="W6" s="70">
        <v>0.84</v>
      </c>
      <c r="X6" s="70">
        <v>0.69</v>
      </c>
      <c r="Y6" s="70">
        <f>-0.17+0.21</f>
        <v>3.999999999999998E-2</v>
      </c>
      <c r="Z6" s="70">
        <v>0.03</v>
      </c>
      <c r="AA6" s="70">
        <v>-0.06</v>
      </c>
      <c r="AB6" s="70">
        <v>0.35</v>
      </c>
      <c r="AC6" s="70">
        <f>-1.19+0.12-0.08</f>
        <v>-1.1499999999999999</v>
      </c>
      <c r="AD6" s="70">
        <v>-0.24</v>
      </c>
      <c r="AE6" s="70">
        <v>1.38</v>
      </c>
      <c r="AF6" s="29">
        <v>-0.4</v>
      </c>
      <c r="AG6" s="28">
        <v>-4.4400000000000004</v>
      </c>
      <c r="AH6" s="41">
        <f t="shared" si="0"/>
        <v>10.1</v>
      </c>
      <c r="AI6" s="41">
        <f t="shared" si="1"/>
        <v>2.8608695652173921</v>
      </c>
    </row>
    <row r="7" spans="1:35" ht="30" x14ac:dyDescent="0.25">
      <c r="A7" s="51" t="s">
        <v>197</v>
      </c>
      <c r="B7" s="70">
        <v>0.14813000000000001</v>
      </c>
      <c r="C7" s="70">
        <v>-4.4490000000000002E-2</v>
      </c>
      <c r="D7" s="70">
        <v>0.14371999999999999</v>
      </c>
      <c r="E7" s="70">
        <v>0.372</v>
      </c>
      <c r="F7" s="70">
        <v>0.16689999999999999</v>
      </c>
      <c r="G7" s="70">
        <v>0.18</v>
      </c>
      <c r="H7" s="70">
        <v>0.17</v>
      </c>
      <c r="I7" s="70">
        <v>0.21309999999999993</v>
      </c>
      <c r="J7" s="70">
        <v>0.22</v>
      </c>
      <c r="K7" s="70">
        <v>0.26</v>
      </c>
      <c r="L7" s="70">
        <f>0.78-K7-J7</f>
        <v>0.30000000000000004</v>
      </c>
      <c r="M7" s="70">
        <v>0.37</v>
      </c>
      <c r="N7" s="70">
        <v>0.34</v>
      </c>
      <c r="O7" s="70">
        <v>0.34</v>
      </c>
      <c r="P7" s="70">
        <v>0.49</v>
      </c>
      <c r="Q7" s="70">
        <v>0.49</v>
      </c>
      <c r="R7" s="70">
        <v>0.43</v>
      </c>
      <c r="S7" s="70">
        <v>0.3</v>
      </c>
      <c r="T7" s="70">
        <v>0.18</v>
      </c>
      <c r="U7" s="70">
        <f>0.41+0.08-0.24</f>
        <v>0.25</v>
      </c>
      <c r="V7" s="70">
        <v>0.31</v>
      </c>
      <c r="W7" s="70">
        <v>0.28000000000000003</v>
      </c>
      <c r="X7" s="70">
        <v>0.3899999999999999</v>
      </c>
      <c r="Y7" s="70">
        <f>0.7-0.11</f>
        <v>0.59</v>
      </c>
      <c r="Z7" s="70">
        <v>0.75</v>
      </c>
      <c r="AA7" s="70">
        <v>1.06</v>
      </c>
      <c r="AB7" s="70">
        <v>1.62</v>
      </c>
      <c r="AC7" s="70">
        <f>1.29+0.04+0.08</f>
        <v>1.4100000000000001</v>
      </c>
      <c r="AD7" s="70">
        <v>0.97</v>
      </c>
      <c r="AE7" s="70">
        <v>1.24</v>
      </c>
      <c r="AF7" s="29">
        <v>1.46</v>
      </c>
      <c r="AG7" s="28">
        <v>1.62</v>
      </c>
      <c r="AH7" s="41">
        <f t="shared" si="0"/>
        <v>0.1095890410958904</v>
      </c>
      <c r="AI7" s="41">
        <f t="shared" si="1"/>
        <v>0.14893617021276584</v>
      </c>
    </row>
    <row r="8" spans="1:35" x14ac:dyDescent="0.25">
      <c r="A8" s="29" t="s">
        <v>40</v>
      </c>
      <c r="B8" s="70">
        <v>0.24176</v>
      </c>
      <c r="C8" s="70">
        <v>0.19389999999999999</v>
      </c>
      <c r="D8" s="70">
        <v>1.4540299999999999</v>
      </c>
      <c r="E8" s="70">
        <v>-1.522</v>
      </c>
      <c r="F8" s="70">
        <v>0.58592</v>
      </c>
      <c r="G8" s="70">
        <v>2.0499999999999998</v>
      </c>
      <c r="H8" s="70">
        <v>2.1800000000000002</v>
      </c>
      <c r="I8" s="70">
        <v>-1.4559200000000003</v>
      </c>
      <c r="J8" s="70">
        <v>1.37</v>
      </c>
      <c r="K8" s="70">
        <v>0.48</v>
      </c>
      <c r="L8" s="70">
        <f>2.26-J8-K8</f>
        <v>0.4099999999999997</v>
      </c>
      <c r="M8" s="70">
        <v>-1.91</v>
      </c>
      <c r="N8" s="70">
        <v>0.63</v>
      </c>
      <c r="O8" s="70">
        <v>-1.37</v>
      </c>
      <c r="P8" s="70">
        <v>1.28</v>
      </c>
      <c r="Q8" s="70">
        <v>-0.98</v>
      </c>
      <c r="R8" s="70">
        <v>0.79</v>
      </c>
      <c r="S8" s="70">
        <v>2.83</v>
      </c>
      <c r="T8" s="70">
        <v>0.68</v>
      </c>
      <c r="U8" s="70">
        <f>0.02-3.03</f>
        <v>-3.01</v>
      </c>
      <c r="V8" s="70">
        <v>-1.81</v>
      </c>
      <c r="W8" s="70">
        <v>2.5499999999999998</v>
      </c>
      <c r="X8" s="70">
        <v>3.7400000000000011</v>
      </c>
      <c r="Y8" s="70">
        <v>0.96999999999999886</v>
      </c>
      <c r="Z8" s="70">
        <v>2.39</v>
      </c>
      <c r="AA8" s="70">
        <v>-2.68</v>
      </c>
      <c r="AB8" s="70">
        <v>-0.57999999999999996</v>
      </c>
      <c r="AC8" s="70">
        <f>0.25+0.66</f>
        <v>0.91</v>
      </c>
      <c r="AD8" s="70">
        <v>0.88</v>
      </c>
      <c r="AE8" s="70">
        <v>1.83</v>
      </c>
      <c r="AF8" s="29">
        <v>3.51</v>
      </c>
      <c r="AG8" s="28">
        <v>-4.59</v>
      </c>
      <c r="AH8" s="41">
        <f t="shared" si="0"/>
        <v>-2.3076923076923075</v>
      </c>
      <c r="AI8" s="41">
        <f t="shared" si="1"/>
        <v>-6.0439560439560438</v>
      </c>
    </row>
    <row r="9" spans="1:35" x14ac:dyDescent="0.25">
      <c r="A9" s="29" t="s">
        <v>41</v>
      </c>
      <c r="B9" s="70">
        <v>-0.85567000000000004</v>
      </c>
      <c r="C9" s="70">
        <v>6.701E-2</v>
      </c>
      <c r="D9" s="70">
        <v>-2.1099800000000002</v>
      </c>
      <c r="E9" s="70">
        <v>-2.4020000000000001</v>
      </c>
      <c r="F9" s="70">
        <v>-3.3047300000000002</v>
      </c>
      <c r="G9" s="70">
        <v>1.65</v>
      </c>
      <c r="H9" s="70">
        <v>-1.08</v>
      </c>
      <c r="I9" s="70">
        <v>-2.526999999999946E-2</v>
      </c>
      <c r="J9" s="70">
        <v>1.3</v>
      </c>
      <c r="K9" s="70">
        <v>-1.32</v>
      </c>
      <c r="L9" s="70">
        <f>-7.35-K9-J9</f>
        <v>-7.3299999999999992</v>
      </c>
      <c r="M9" s="70">
        <v>3.81</v>
      </c>
      <c r="N9" s="70">
        <v>-1.04</v>
      </c>
      <c r="O9" s="70">
        <v>-0.32</v>
      </c>
      <c r="P9" s="70">
        <v>-3.6</v>
      </c>
      <c r="Q9" s="70">
        <v>-1.07</v>
      </c>
      <c r="R9" s="70">
        <v>-4.22</v>
      </c>
      <c r="S9" s="70">
        <v>-1.46</v>
      </c>
      <c r="T9" s="70">
        <v>0.01</v>
      </c>
      <c r="U9" s="70">
        <f>-0.03+0.51+1.48</f>
        <v>1.96</v>
      </c>
      <c r="V9" s="70">
        <v>-11.94</v>
      </c>
      <c r="W9" s="70">
        <v>-5.71</v>
      </c>
      <c r="X9" s="70">
        <v>-1.7400000000000011</v>
      </c>
      <c r="Y9" s="70">
        <v>-5.71</v>
      </c>
      <c r="Z9" s="70">
        <v>-9.02</v>
      </c>
      <c r="AA9" s="70">
        <v>2.85</v>
      </c>
      <c r="AB9" s="70">
        <v>6.79</v>
      </c>
      <c r="AC9" s="70">
        <f>1.56+2.06</f>
        <v>3.62</v>
      </c>
      <c r="AD9" s="70">
        <v>2.2789999999999999</v>
      </c>
      <c r="AE9" s="70">
        <v>-2.71</v>
      </c>
      <c r="AF9" s="29">
        <v>-2.76</v>
      </c>
      <c r="AG9" s="28">
        <v>-11.08</v>
      </c>
      <c r="AH9" s="41">
        <f t="shared" si="0"/>
        <v>3.0144927536231885</v>
      </c>
      <c r="AI9" s="41">
        <f t="shared" si="1"/>
        <v>-4.0607734806629834</v>
      </c>
    </row>
    <row r="10" spans="1:35" x14ac:dyDescent="0.25">
      <c r="A10" s="29" t="s">
        <v>42</v>
      </c>
      <c r="B10" s="70">
        <v>6.9498600000000001</v>
      </c>
      <c r="C10" s="70">
        <v>-3.1633</v>
      </c>
      <c r="D10" s="70">
        <v>-2.5252400000000002</v>
      </c>
      <c r="E10" s="70">
        <v>-3.2970000000000002</v>
      </c>
      <c r="F10" s="70">
        <v>4.3353599999999997</v>
      </c>
      <c r="G10" s="70">
        <v>-1.67</v>
      </c>
      <c r="H10" s="70">
        <v>-3.73</v>
      </c>
      <c r="I10" s="70">
        <v>-3.2053599999999993</v>
      </c>
      <c r="J10" s="70">
        <v>2.5</v>
      </c>
      <c r="K10" s="70">
        <v>-7.26</v>
      </c>
      <c r="L10" s="70">
        <f>-4.08-J10-K10</f>
        <v>0.67999999999999972</v>
      </c>
      <c r="M10" s="70">
        <v>-2.87</v>
      </c>
      <c r="N10" s="70">
        <v>9.4600000000000009</v>
      </c>
      <c r="O10" s="70">
        <v>-2.61</v>
      </c>
      <c r="P10" s="70">
        <v>-1.01</v>
      </c>
      <c r="Q10" s="70">
        <v>-1.89</v>
      </c>
      <c r="R10" s="70">
        <v>-2.61</v>
      </c>
      <c r="S10" s="70">
        <v>3.13</v>
      </c>
      <c r="T10" s="70">
        <v>1.1100000000000001</v>
      </c>
      <c r="U10" s="70">
        <f>0.56-4.91+0.13</f>
        <v>-4.22</v>
      </c>
      <c r="V10" s="70">
        <v>-0.01</v>
      </c>
      <c r="W10" s="70">
        <v>3.25</v>
      </c>
      <c r="X10" s="70">
        <v>-10.61</v>
      </c>
      <c r="Y10" s="70">
        <f>-6.28+0.88</f>
        <v>-5.4</v>
      </c>
      <c r="Z10" s="70">
        <v>7.84</v>
      </c>
      <c r="AA10" s="70">
        <v>-11.72</v>
      </c>
      <c r="AB10" s="70">
        <v>9.7100000000000009</v>
      </c>
      <c r="AC10" s="70">
        <f>-5.55-2.26-0.24</f>
        <v>-8.0499999999999989</v>
      </c>
      <c r="AD10" s="70">
        <v>-8.94</v>
      </c>
      <c r="AE10" s="70">
        <v>-7.42</v>
      </c>
      <c r="AF10" s="29">
        <v>-17.79</v>
      </c>
      <c r="AG10" s="28">
        <v>12.94</v>
      </c>
      <c r="AH10" s="41">
        <f t="shared" si="0"/>
        <v>-1.7273749297358068</v>
      </c>
      <c r="AI10" s="41">
        <f t="shared" si="1"/>
        <v>-2.6074534161490686</v>
      </c>
    </row>
    <row r="11" spans="1:35" ht="30" x14ac:dyDescent="0.25">
      <c r="A11" s="51" t="s">
        <v>43</v>
      </c>
      <c r="B11" s="70">
        <v>-4.83596</v>
      </c>
      <c r="C11" s="70">
        <v>1.3700300000000001</v>
      </c>
      <c r="D11" s="70">
        <v>2.2540499999999999</v>
      </c>
      <c r="E11" s="70">
        <v>5.9459999999999997</v>
      </c>
      <c r="F11" s="70">
        <v>0.20008999999999999</v>
      </c>
      <c r="G11" s="70">
        <v>-1.21</v>
      </c>
      <c r="H11" s="70">
        <v>-1.35</v>
      </c>
      <c r="I11" s="70">
        <v>3.8599100000000002</v>
      </c>
      <c r="J11" s="70">
        <v>-6.85</v>
      </c>
      <c r="K11" s="70">
        <v>5.5299999999999994</v>
      </c>
      <c r="L11" s="70">
        <f>2.14-K11-J11</f>
        <v>3.4600000000000004</v>
      </c>
      <c r="M11" s="70">
        <v>7.86</v>
      </c>
      <c r="N11" s="70">
        <v>-11.4</v>
      </c>
      <c r="O11" s="70">
        <v>-3.55</v>
      </c>
      <c r="P11" s="70">
        <v>2.0099999999999998</v>
      </c>
      <c r="Q11" s="70">
        <v>12.32</v>
      </c>
      <c r="R11" s="70">
        <v>1.87</v>
      </c>
      <c r="S11" s="70">
        <v>-6.08</v>
      </c>
      <c r="T11" s="70">
        <v>-8.0500000000000007</v>
      </c>
      <c r="U11" s="70">
        <f>1.44+8.29+0.51</f>
        <v>10.239999999999998</v>
      </c>
      <c r="V11" s="70">
        <v>4.71</v>
      </c>
      <c r="W11" s="70">
        <v>-4.01</v>
      </c>
      <c r="X11" s="70">
        <v>5.63</v>
      </c>
      <c r="Y11" s="70">
        <f>14.58+0.19</f>
        <v>14.77</v>
      </c>
      <c r="Z11" s="70">
        <v>-10.199999999999999</v>
      </c>
      <c r="AA11" s="70">
        <v>10.8</v>
      </c>
      <c r="AB11" s="70">
        <v>-16.579999999999998</v>
      </c>
      <c r="AC11" s="70">
        <f>14.5-1.29+0.89</f>
        <v>14.100000000000001</v>
      </c>
      <c r="AD11" s="70">
        <v>-1.46</v>
      </c>
      <c r="AE11" s="70">
        <v>4.0599999999999996</v>
      </c>
      <c r="AF11" s="29">
        <v>4.8600000000000003</v>
      </c>
      <c r="AG11" s="28">
        <v>13.17</v>
      </c>
      <c r="AH11" s="41">
        <f t="shared" si="0"/>
        <v>1.7098765432098761</v>
      </c>
      <c r="AI11" s="41">
        <f t="shared" si="1"/>
        <v>-6.5957446808510789E-2</v>
      </c>
    </row>
    <row r="12" spans="1:35" x14ac:dyDescent="0.25">
      <c r="A12" s="29" t="s">
        <v>44</v>
      </c>
      <c r="B12" s="70">
        <v>-0.52107000000000003</v>
      </c>
      <c r="C12" s="70">
        <v>9.2300000000000004E-3</v>
      </c>
      <c r="D12" s="70">
        <v>0.25968000000000002</v>
      </c>
      <c r="E12" s="70">
        <v>-1.302</v>
      </c>
      <c r="F12" s="70">
        <v>-0.13431000000000001</v>
      </c>
      <c r="G12" s="70">
        <v>-0.35</v>
      </c>
      <c r="H12" s="70">
        <v>-0.33</v>
      </c>
      <c r="I12" s="70">
        <v>-1.5356899999999998</v>
      </c>
      <c r="J12" s="70">
        <v>-0.54</v>
      </c>
      <c r="K12" s="70">
        <v>-0.75</v>
      </c>
      <c r="L12" s="70">
        <f>-0.92-J12-K12</f>
        <v>0.37</v>
      </c>
      <c r="M12" s="70">
        <v>-0.63</v>
      </c>
      <c r="N12" s="70">
        <v>-0.09</v>
      </c>
      <c r="O12" s="70">
        <v>-0.59</v>
      </c>
      <c r="P12" s="70">
        <v>-0.33</v>
      </c>
      <c r="Q12" s="70">
        <v>-0.18</v>
      </c>
      <c r="R12" s="70">
        <v>0.02</v>
      </c>
      <c r="S12" s="70">
        <v>0.22</v>
      </c>
      <c r="T12" s="70">
        <v>-0.54</v>
      </c>
      <c r="U12" s="70">
        <f>-0.32-1.18</f>
        <v>-1.5</v>
      </c>
      <c r="V12" s="70">
        <v>-0.63</v>
      </c>
      <c r="W12" s="70">
        <v>0.7</v>
      </c>
      <c r="X12" s="70">
        <v>1.2900000000000003</v>
      </c>
      <c r="Y12" s="70">
        <v>-0.9700000000000002</v>
      </c>
      <c r="Z12" s="70">
        <v>-0.83</v>
      </c>
      <c r="AA12" s="70">
        <v>0.2</v>
      </c>
      <c r="AB12" s="70">
        <v>0.62</v>
      </c>
      <c r="AC12" s="70">
        <f>0.78-0.26-1.6</f>
        <v>-1.08</v>
      </c>
      <c r="AD12" s="70">
        <v>-1.18</v>
      </c>
      <c r="AE12" s="70">
        <f>-0.57</f>
        <v>-0.56999999999999995</v>
      </c>
      <c r="AF12" s="29">
        <v>-0.15</v>
      </c>
      <c r="AG12" s="28">
        <v>1.54</v>
      </c>
      <c r="AH12" s="41">
        <f t="shared" si="0"/>
        <v>-11.266666666666667</v>
      </c>
      <c r="AI12" s="41">
        <f t="shared" si="1"/>
        <v>-2.4259259259259256</v>
      </c>
    </row>
    <row r="13" spans="1:35" x14ac:dyDescent="0.25">
      <c r="A13" s="29" t="s">
        <v>198</v>
      </c>
      <c r="B13" s="29">
        <v>-0.02</v>
      </c>
      <c r="C13" s="29">
        <v>2.9999999999974492E-5</v>
      </c>
      <c r="D13" s="29">
        <v>0</v>
      </c>
      <c r="E13" s="29">
        <v>-9.9999999999944578E-4</v>
      </c>
      <c r="F13" s="29">
        <v>-4.6199999999991803E-3</v>
      </c>
      <c r="G13" s="29">
        <v>-1.0000000000000009E-2</v>
      </c>
      <c r="H13" s="29">
        <v>-5.9999999999999609E-2</v>
      </c>
      <c r="I13" s="29">
        <v>-4.538000000000153E-2</v>
      </c>
      <c r="J13" s="29">
        <v>-0.66000000000000059</v>
      </c>
      <c r="K13" s="29">
        <v>-0.13999999999999968</v>
      </c>
      <c r="L13" s="29">
        <v>0.17999999999999938</v>
      </c>
      <c r="M13" s="29">
        <v>4.0000000000000924E-2</v>
      </c>
      <c r="N13" s="29">
        <v>6.9999999999999563E-2</v>
      </c>
      <c r="O13" s="29">
        <v>-1.3499999999999996</v>
      </c>
      <c r="P13" s="29">
        <v>1.43</v>
      </c>
      <c r="Q13" s="29">
        <v>-0.27999999999999936</v>
      </c>
      <c r="R13" s="29">
        <v>-0.55000000000000071</v>
      </c>
      <c r="S13" s="29">
        <v>2.999999999999961E-2</v>
      </c>
      <c r="T13" s="29">
        <v>-9.9999999999997868E-3</v>
      </c>
      <c r="U13" s="29">
        <v>-0.9399999999999995</v>
      </c>
      <c r="V13" s="29">
        <v>4.9999999999998934E-2</v>
      </c>
      <c r="W13" s="29">
        <v>-0.56999999999999962</v>
      </c>
      <c r="X13" s="29">
        <v>0.84999999999999987</v>
      </c>
      <c r="Y13" s="29">
        <v>-1.0999999999999988</v>
      </c>
      <c r="Z13" s="29">
        <v>2.9999999999999361E-2</v>
      </c>
      <c r="AA13" s="29">
        <v>-1.1399999999999999</v>
      </c>
      <c r="AB13" s="29">
        <v>0.33999999999999897</v>
      </c>
      <c r="AC13" s="29">
        <v>2.6899999999999977</v>
      </c>
      <c r="AD13" s="29">
        <v>-4.1100000000000003</v>
      </c>
      <c r="AE13" s="29">
        <f>-0.24+3.18-0.15</f>
        <v>2.7900000000000005</v>
      </c>
      <c r="AF13" s="29">
        <v>-0.21</v>
      </c>
      <c r="AG13" s="28">
        <v>0.28999999999999998</v>
      </c>
      <c r="AH13" s="41">
        <f t="shared" si="0"/>
        <v>-2.3809523809523809</v>
      </c>
      <c r="AI13" s="41">
        <f t="shared" si="1"/>
        <v>-0.89219330855018575</v>
      </c>
    </row>
    <row r="14" spans="1:35" s="4" customFormat="1" ht="31.2" x14ac:dyDescent="0.3">
      <c r="A14" s="71" t="s">
        <v>45</v>
      </c>
      <c r="B14" s="27">
        <v>1.5915299999999999</v>
      </c>
      <c r="C14" s="27">
        <v>0.67329000000000006</v>
      </c>
      <c r="D14" s="27">
        <v>2.2736100000000001</v>
      </c>
      <c r="E14" s="27">
        <v>1.91</v>
      </c>
      <c r="F14" s="27">
        <v>3.6861100000000002</v>
      </c>
      <c r="G14" s="27">
        <v>2.73</v>
      </c>
      <c r="H14" s="27">
        <v>-0.36</v>
      </c>
      <c r="I14" s="27">
        <v>2.4138900000000003</v>
      </c>
      <c r="J14" s="27">
        <v>-0.2</v>
      </c>
      <c r="K14" s="27">
        <v>-0.22999999999999998</v>
      </c>
      <c r="L14" s="27">
        <f>1.5-J14-K14</f>
        <v>1.93</v>
      </c>
      <c r="M14" s="27">
        <v>9.24</v>
      </c>
      <c r="N14" s="27">
        <v>1.0409999999999999</v>
      </c>
      <c r="O14" s="27">
        <v>-9.5500000000000007</v>
      </c>
      <c r="P14" s="27">
        <v>0.93</v>
      </c>
      <c r="Q14" s="27">
        <v>5.24</v>
      </c>
      <c r="R14" s="27">
        <v>0.75</v>
      </c>
      <c r="S14" s="55">
        <v>3.1399999999999997</v>
      </c>
      <c r="T14" s="55">
        <v>-2.98</v>
      </c>
      <c r="U14" s="55">
        <f>6.11+0.4-0.08+1.48</f>
        <v>7.91</v>
      </c>
      <c r="V14" s="55">
        <v>-6.48</v>
      </c>
      <c r="W14" s="55">
        <v>1.74</v>
      </c>
      <c r="X14" s="55">
        <v>2.42</v>
      </c>
      <c r="Y14" s="55">
        <v>6.29</v>
      </c>
      <c r="Z14" s="55">
        <v>-5.03</v>
      </c>
      <c r="AA14" s="55">
        <v>3.18</v>
      </c>
      <c r="AB14" s="55">
        <v>5.96</v>
      </c>
      <c r="AC14" s="55">
        <f>13.8+1.17+0.73</f>
        <v>15.700000000000001</v>
      </c>
      <c r="AD14" s="55">
        <v>-7.36</v>
      </c>
      <c r="AE14" s="55">
        <v>5.6</v>
      </c>
      <c r="AF14" s="55">
        <f>-5.79</f>
        <v>-5.79</v>
      </c>
      <c r="AG14" s="53">
        <v>15.17</v>
      </c>
      <c r="AH14" s="38">
        <f t="shared" si="0"/>
        <v>-3.6200345423143352</v>
      </c>
      <c r="AI14" s="38">
        <f t="shared" si="1"/>
        <v>-3.3757961783439594E-2</v>
      </c>
    </row>
    <row r="15" spans="1:35" s="9" customFormat="1" ht="15.6" x14ac:dyDescent="0.3">
      <c r="A15" s="9" t="s">
        <v>46</v>
      </c>
      <c r="AH15" s="10"/>
      <c r="AI15" s="10"/>
    </row>
    <row r="16" spans="1:35" x14ac:dyDescent="0.25">
      <c r="A16" s="29" t="s">
        <v>47</v>
      </c>
      <c r="B16" s="29">
        <v>1.15E-3</v>
      </c>
      <c r="C16" s="29">
        <v>3.0000000000000001E-5</v>
      </c>
      <c r="D16" s="29">
        <v>0</v>
      </c>
      <c r="E16" s="29">
        <v>1.72</v>
      </c>
      <c r="F16" s="29">
        <v>0</v>
      </c>
      <c r="G16" s="29">
        <v>0.02</v>
      </c>
      <c r="H16" s="29">
        <v>0.43</v>
      </c>
      <c r="I16" s="29">
        <v>1.7500000000000002</v>
      </c>
      <c r="J16" s="29">
        <v>1.42</v>
      </c>
      <c r="K16" s="29">
        <v>2.23</v>
      </c>
      <c r="L16" s="29">
        <f>5.3-K16-J16</f>
        <v>1.65</v>
      </c>
      <c r="M16" s="29">
        <v>1.53</v>
      </c>
      <c r="N16" s="29">
        <v>1.9</v>
      </c>
      <c r="O16" s="29">
        <v>0.1</v>
      </c>
      <c r="P16" s="29">
        <v>0.14000000000000001</v>
      </c>
      <c r="Q16" s="29">
        <v>-0.01</v>
      </c>
      <c r="R16" s="29">
        <v>0</v>
      </c>
      <c r="S16" s="29">
        <v>0.06</v>
      </c>
      <c r="T16" s="29">
        <v>0.55000000000000004</v>
      </c>
      <c r="U16" s="29">
        <v>0.12</v>
      </c>
      <c r="V16" s="29">
        <v>0.01</v>
      </c>
      <c r="W16" s="29">
        <v>0.01</v>
      </c>
      <c r="X16" s="29">
        <v>0.05</v>
      </c>
      <c r="Y16" s="29">
        <v>0.09</v>
      </c>
      <c r="Z16" s="29">
        <v>0.43</v>
      </c>
      <c r="AA16" s="29">
        <v>0</v>
      </c>
      <c r="AB16" s="29">
        <v>0.13</v>
      </c>
      <c r="AC16" s="29">
        <f>0.47-0.6</f>
        <v>-0.13</v>
      </c>
      <c r="AD16" s="29">
        <v>0</v>
      </c>
      <c r="AE16" s="29">
        <v>0.03</v>
      </c>
      <c r="AF16" s="29">
        <v>0</v>
      </c>
      <c r="AG16" s="28">
        <v>0.02</v>
      </c>
      <c r="AH16" s="79" t="str">
        <f>IFERROR(AG16/AF16-1,"-")</f>
        <v>-</v>
      </c>
      <c r="AI16" s="79">
        <f>IFERROR(AG16/AC16-1,"-")</f>
        <v>-1.1538461538461537</v>
      </c>
    </row>
    <row r="17" spans="1:35" ht="30" x14ac:dyDescent="0.25">
      <c r="A17" s="51" t="s">
        <v>56</v>
      </c>
      <c r="B17" s="29">
        <v>1.15E-3</v>
      </c>
      <c r="C17" s="29">
        <v>3.0000000000000001E-5</v>
      </c>
      <c r="D17" s="29">
        <v>0</v>
      </c>
      <c r="E17" s="29">
        <v>1.72</v>
      </c>
      <c r="F17" s="29">
        <v>0</v>
      </c>
      <c r="G17" s="29">
        <v>0.02</v>
      </c>
      <c r="H17" s="29">
        <v>0.02</v>
      </c>
      <c r="I17" s="29">
        <v>1.29</v>
      </c>
      <c r="J17" s="29">
        <v>1.42</v>
      </c>
      <c r="K17" s="29">
        <v>2.2200000000000002</v>
      </c>
      <c r="L17" s="29">
        <f>4.93-K17-J17</f>
        <v>1.2899999999999996</v>
      </c>
      <c r="M17" s="29">
        <v>1.28</v>
      </c>
      <c r="N17" s="29">
        <v>1.9</v>
      </c>
      <c r="O17" s="29">
        <v>0.1</v>
      </c>
      <c r="P17" s="29">
        <v>0.14000000000000001</v>
      </c>
      <c r="Q17" s="29">
        <v>-0.01</v>
      </c>
      <c r="R17" s="29">
        <v>0</v>
      </c>
      <c r="S17" s="29">
        <v>0.06</v>
      </c>
      <c r="T17" s="29">
        <v>0.55000000000000004</v>
      </c>
      <c r="U17" s="29">
        <v>0.12</v>
      </c>
      <c r="V17" s="29">
        <v>0.01</v>
      </c>
      <c r="W17" s="29">
        <v>0.01</v>
      </c>
      <c r="X17" s="29">
        <v>0.05</v>
      </c>
      <c r="Y17" s="29">
        <v>7.9999999999999974E-2</v>
      </c>
      <c r="Z17" s="29">
        <v>0.21</v>
      </c>
      <c r="AA17" s="29">
        <v>0</v>
      </c>
      <c r="AB17" s="29">
        <v>0.5</v>
      </c>
      <c r="AC17" s="29">
        <f>0.4-0.87</f>
        <v>-0.47</v>
      </c>
      <c r="AD17" s="29">
        <v>0</v>
      </c>
      <c r="AE17" s="29">
        <v>0.03</v>
      </c>
      <c r="AF17" s="29">
        <v>0</v>
      </c>
      <c r="AG17" s="8">
        <v>0.02</v>
      </c>
      <c r="AH17" s="79" t="str">
        <f>IFERROR(AG18/AF17-1,"-")</f>
        <v>-</v>
      </c>
      <c r="AI17" s="79">
        <f>IFERROR(AG18/AC17-1,"-")</f>
        <v>-7</v>
      </c>
    </row>
    <row r="18" spans="1:35" x14ac:dyDescent="0.25">
      <c r="A18" s="51" t="s">
        <v>48</v>
      </c>
      <c r="B18" s="29">
        <v>0.75741999999999998</v>
      </c>
      <c r="C18" s="29">
        <v>0.32103999999999999</v>
      </c>
      <c r="D18" s="29">
        <v>2.87181</v>
      </c>
      <c r="E18" s="29">
        <v>3.6339999999999999</v>
      </c>
      <c r="F18" s="29">
        <v>0.40576000000000001</v>
      </c>
      <c r="G18" s="29">
        <v>1.53</v>
      </c>
      <c r="H18" s="29">
        <v>3.16</v>
      </c>
      <c r="I18" s="29">
        <v>5.604239999999999</v>
      </c>
      <c r="J18" s="29">
        <v>3.5</v>
      </c>
      <c r="K18" s="29">
        <v>4.43</v>
      </c>
      <c r="L18" s="29">
        <f>10.67-K18-J18</f>
        <v>2.74</v>
      </c>
      <c r="M18" s="29">
        <v>5.04</v>
      </c>
      <c r="N18" s="29">
        <v>1.92</v>
      </c>
      <c r="O18" s="29">
        <v>2.02</v>
      </c>
      <c r="P18" s="29">
        <v>2.2400000000000002</v>
      </c>
      <c r="Q18" s="29">
        <v>2.19</v>
      </c>
      <c r="R18" s="29">
        <v>1.73</v>
      </c>
      <c r="S18" s="29">
        <v>1.1200000000000001</v>
      </c>
      <c r="T18" s="29">
        <v>1.73</v>
      </c>
      <c r="U18" s="29">
        <f>1.04-1.11-0.12+1.47</f>
        <v>1.2799999999999998</v>
      </c>
      <c r="V18" s="29">
        <v>1.0900000000000001</v>
      </c>
      <c r="W18" s="29">
        <v>3.84</v>
      </c>
      <c r="X18" s="29">
        <v>5.17</v>
      </c>
      <c r="Y18" s="29">
        <v>6.17</v>
      </c>
      <c r="Z18" s="29">
        <v>3.59</v>
      </c>
      <c r="AA18" s="29">
        <v>3.3</v>
      </c>
      <c r="AB18" s="29">
        <v>3.39</v>
      </c>
      <c r="AC18" s="29">
        <f>1.64+1.46+0.71</f>
        <v>3.8099999999999996</v>
      </c>
      <c r="AD18" s="29">
        <v>2.35</v>
      </c>
      <c r="AE18" s="29">
        <v>2.62</v>
      </c>
      <c r="AF18" s="29">
        <v>1.37</v>
      </c>
      <c r="AG18" s="28">
        <v>2.82</v>
      </c>
      <c r="AH18" s="41" t="str">
        <f>IFERROR(#REF!/AF18-1,"-")</f>
        <v>-</v>
      </c>
      <c r="AI18" s="41" t="str">
        <f>IFERROR(#REF!/AC18-1,"-")</f>
        <v>-</v>
      </c>
    </row>
    <row r="19" spans="1:35" ht="30" x14ac:dyDescent="0.25">
      <c r="A19" s="51" t="s">
        <v>49</v>
      </c>
      <c r="B19" s="29">
        <v>0.75741999999999998</v>
      </c>
      <c r="C19" s="29">
        <v>0.32103999999999999</v>
      </c>
      <c r="D19" s="29">
        <v>2.87181</v>
      </c>
      <c r="E19" s="29">
        <v>3.6339999999999999</v>
      </c>
      <c r="F19" s="29">
        <v>0.40576000000000001</v>
      </c>
      <c r="G19" s="29">
        <v>1.53</v>
      </c>
      <c r="H19" s="29">
        <v>3.16</v>
      </c>
      <c r="I19" s="29">
        <v>5.604239999999999</v>
      </c>
      <c r="J19" s="29">
        <v>3.5</v>
      </c>
      <c r="K19" s="29">
        <v>4.43</v>
      </c>
      <c r="L19" s="29">
        <f>10.59-J19-K19</f>
        <v>2.66</v>
      </c>
      <c r="M19" s="29">
        <v>5.04</v>
      </c>
      <c r="N19" s="29">
        <v>1.92</v>
      </c>
      <c r="O19" s="29">
        <v>2.02</v>
      </c>
      <c r="P19" s="29">
        <v>2.2400000000000002</v>
      </c>
      <c r="Q19" s="29">
        <v>2.19</v>
      </c>
      <c r="R19" s="29">
        <v>1.73</v>
      </c>
      <c r="S19" s="29">
        <v>1.1200000000000001</v>
      </c>
      <c r="T19" s="29">
        <v>1</v>
      </c>
      <c r="U19" s="29">
        <f>1.04-1.11-0.12+1.48</f>
        <v>1.29</v>
      </c>
      <c r="V19" s="29">
        <v>1.0900000000000001</v>
      </c>
      <c r="W19" s="29">
        <v>3.84</v>
      </c>
      <c r="X19" s="29">
        <v>5</v>
      </c>
      <c r="Y19" s="29">
        <v>5.8</v>
      </c>
      <c r="Z19" s="29">
        <v>3.5</v>
      </c>
      <c r="AA19" s="29">
        <v>2.57</v>
      </c>
      <c r="AB19" s="29">
        <v>3.31</v>
      </c>
      <c r="AC19" s="29">
        <f>1.64+1.83+0.71</f>
        <v>4.18</v>
      </c>
      <c r="AD19" s="29">
        <v>2.15</v>
      </c>
      <c r="AE19" s="29">
        <v>2.5299999999999998</v>
      </c>
      <c r="AF19" s="29">
        <v>1.32</v>
      </c>
      <c r="AG19" s="28">
        <v>2.82</v>
      </c>
      <c r="AH19" s="41">
        <f t="shared" ref="AH19:AH20" si="2">IFERROR(AG19/AF19-1,"-")</f>
        <v>1.1363636363636362</v>
      </c>
      <c r="AI19" s="41">
        <f t="shared" ref="AI19:AI20" si="3">IFERROR(AG19/AC19-1,"-")</f>
        <v>-0.32535885167464118</v>
      </c>
    </row>
    <row r="20" spans="1:35" s="4" customFormat="1" ht="31.2" x14ac:dyDescent="0.3">
      <c r="A20" s="71" t="s">
        <v>50</v>
      </c>
      <c r="B20" s="27">
        <v>-0.75627</v>
      </c>
      <c r="C20" s="27">
        <v>-0.32101000000000002</v>
      </c>
      <c r="D20" s="27">
        <v>-2.87181</v>
      </c>
      <c r="E20" s="27">
        <v>-1.915</v>
      </c>
      <c r="F20" s="27">
        <v>-0.40576000000000001</v>
      </c>
      <c r="G20" s="27">
        <v>-1.51</v>
      </c>
      <c r="H20" s="27">
        <v>-2.73</v>
      </c>
      <c r="I20" s="27">
        <v>-3.8542399999999994</v>
      </c>
      <c r="J20" s="27">
        <v>-2.08</v>
      </c>
      <c r="K20" s="27">
        <v>-2.2000000000000002</v>
      </c>
      <c r="L20" s="27">
        <f>-5.37-K20-J20</f>
        <v>-1.0899999999999999</v>
      </c>
      <c r="M20" s="27">
        <v>-3.51</v>
      </c>
      <c r="N20" s="27">
        <v>-0.02</v>
      </c>
      <c r="O20" s="27">
        <v>-1.92</v>
      </c>
      <c r="P20" s="27">
        <v>-2.1</v>
      </c>
      <c r="Q20" s="27">
        <v>-2.2000000000000002</v>
      </c>
      <c r="R20" s="27">
        <v>-1.73</v>
      </c>
      <c r="S20" s="55">
        <v>-1.06</v>
      </c>
      <c r="T20" s="55">
        <v>-1.18</v>
      </c>
      <c r="U20" s="55">
        <f>-0.92+1.11+0.13-1.48</f>
        <v>-1.1599999999999999</v>
      </c>
      <c r="V20" s="55">
        <v>-1.08</v>
      </c>
      <c r="W20" s="55">
        <v>-3.83</v>
      </c>
      <c r="X20" s="55">
        <v>-5.12</v>
      </c>
      <c r="Y20" s="55">
        <v>-6.08</v>
      </c>
      <c r="Z20" s="55">
        <v>-3.16</v>
      </c>
      <c r="AA20" s="55">
        <v>-3.3</v>
      </c>
      <c r="AB20" s="55">
        <v>-3.26</v>
      </c>
      <c r="AC20" s="55">
        <f>-1.18-2.05-0.71</f>
        <v>-3.9399999999999995</v>
      </c>
      <c r="AD20" s="55">
        <v>-2.35</v>
      </c>
      <c r="AE20" s="55">
        <v>-2.59</v>
      </c>
      <c r="AF20" s="55">
        <v>-1.37</v>
      </c>
      <c r="AG20" s="53">
        <v>-2.8</v>
      </c>
      <c r="AH20" s="38">
        <f t="shared" si="2"/>
        <v>1.0437956204379559</v>
      </c>
      <c r="AI20" s="38">
        <f t="shared" si="3"/>
        <v>-0.28934010152284262</v>
      </c>
    </row>
    <row r="21" spans="1:35" s="9" customFormat="1" ht="15.6" x14ac:dyDescent="0.3">
      <c r="A21" s="9" t="s">
        <v>51</v>
      </c>
      <c r="AH21" s="10"/>
      <c r="AI21" s="10"/>
    </row>
    <row r="22" spans="1:35" x14ac:dyDescent="0.25">
      <c r="A22" s="29" t="s">
        <v>47</v>
      </c>
      <c r="B22" s="29">
        <v>0.77386999999999995</v>
      </c>
      <c r="C22" s="29">
        <v>1.6880299999999999</v>
      </c>
      <c r="D22" s="29">
        <v>7.9430000000000001E-2</v>
      </c>
      <c r="E22" s="29">
        <v>0.316</v>
      </c>
      <c r="F22" s="29">
        <v>0.38113999999999998</v>
      </c>
      <c r="G22" s="29">
        <v>1.76</v>
      </c>
      <c r="H22" s="29">
        <v>4.93</v>
      </c>
      <c r="I22" s="29">
        <v>-1.1711399999999994</v>
      </c>
      <c r="J22" s="29">
        <v>2.96</v>
      </c>
      <c r="K22" s="29">
        <v>4.93</v>
      </c>
      <c r="L22" s="29">
        <f>12.11-K22-J22</f>
        <v>4.22</v>
      </c>
      <c r="M22" s="29">
        <v>0.28000000000000003</v>
      </c>
      <c r="N22" s="29">
        <v>7.29</v>
      </c>
      <c r="O22" s="29">
        <v>8.76</v>
      </c>
      <c r="P22" s="29">
        <v>4.05</v>
      </c>
      <c r="Q22" s="29">
        <v>8.9600000000000009</v>
      </c>
      <c r="R22" s="29">
        <v>7.23</v>
      </c>
      <c r="S22" s="29">
        <v>8.2199999999999989</v>
      </c>
      <c r="T22" s="29">
        <v>16.850000000000001</v>
      </c>
      <c r="U22" s="29">
        <f>0.33+15.32-3.44</f>
        <v>12.21</v>
      </c>
      <c r="V22" s="29">
        <v>8.36</v>
      </c>
      <c r="W22" s="29">
        <v>3.35</v>
      </c>
      <c r="X22" s="29">
        <v>4.8099999999999996</v>
      </c>
      <c r="Y22" s="29">
        <v>14.53</v>
      </c>
      <c r="Z22" s="29">
        <v>6.42</v>
      </c>
      <c r="AA22" s="29">
        <v>5.43</v>
      </c>
      <c r="AB22" s="29">
        <v>13.86</v>
      </c>
      <c r="AC22" s="29">
        <v>3.09</v>
      </c>
      <c r="AD22" s="29">
        <v>11.72</v>
      </c>
      <c r="AE22" s="29">
        <v>2.59</v>
      </c>
      <c r="AF22" s="29">
        <v>16.05</v>
      </c>
      <c r="AG22" s="28">
        <v>10.41</v>
      </c>
      <c r="AH22" s="41">
        <f>IFERROR(AG22/AF22-1,"-")</f>
        <v>-0.3514018691588785</v>
      </c>
      <c r="AI22" s="41">
        <f>IFERROR(AG22/AC22-1,"-")</f>
        <v>2.3689320388349517</v>
      </c>
    </row>
    <row r="23" spans="1:35" x14ac:dyDescent="0.25">
      <c r="A23" s="29" t="s">
        <v>48</v>
      </c>
      <c r="B23" s="29">
        <v>1.2719499999999999</v>
      </c>
      <c r="C23" s="29">
        <v>1.9796499999999999</v>
      </c>
      <c r="D23" s="29">
        <v>-4.8059999999999999E-2</v>
      </c>
      <c r="E23" s="29">
        <v>0</v>
      </c>
      <c r="F23" s="29">
        <v>3.7493599999999998</v>
      </c>
      <c r="G23" s="29">
        <v>1.48</v>
      </c>
      <c r="H23" s="29">
        <v>-1.01</v>
      </c>
      <c r="I23" s="29">
        <v>1.0640000000000649E-2</v>
      </c>
      <c r="J23" s="29">
        <v>1.83</v>
      </c>
      <c r="K23" s="29">
        <v>3.2699999999999996</v>
      </c>
      <c r="L23" s="29">
        <f>9.4-K23-J23</f>
        <v>4.3000000000000007</v>
      </c>
      <c r="M23" s="29">
        <v>2.2200000000000002</v>
      </c>
      <c r="N23" s="29">
        <v>6.48</v>
      </c>
      <c r="O23" s="29">
        <v>1.18</v>
      </c>
      <c r="P23" s="29">
        <v>2.77</v>
      </c>
      <c r="Q23" s="29">
        <v>11.57</v>
      </c>
      <c r="R23" s="29">
        <v>5.14</v>
      </c>
      <c r="S23" s="29">
        <v>11.46</v>
      </c>
      <c r="T23" s="29">
        <v>12.5</v>
      </c>
      <c r="U23" s="29">
        <f>3.18+13.6+0.05</f>
        <v>16.830000000000002</v>
      </c>
      <c r="V23" s="29">
        <v>2.78</v>
      </c>
      <c r="W23" s="29">
        <v>2.58</v>
      </c>
      <c r="X23" s="29">
        <v>1.83</v>
      </c>
      <c r="Y23" s="29">
        <v>9.6199999999999992</v>
      </c>
      <c r="Z23" s="29">
        <v>2.41</v>
      </c>
      <c r="AA23" s="29">
        <v>4.99</v>
      </c>
      <c r="AB23" s="29">
        <v>13.71</v>
      </c>
      <c r="AC23" s="29">
        <f>16.06-0.68-0.18</f>
        <v>15.2</v>
      </c>
      <c r="AD23" s="29">
        <v>6.05</v>
      </c>
      <c r="AE23" s="29">
        <v>1.92</v>
      </c>
      <c r="AF23" s="29">
        <v>9.85</v>
      </c>
      <c r="AG23" s="28">
        <v>13.2</v>
      </c>
      <c r="AH23" s="41">
        <f t="shared" ref="AH23:AH27" si="4">IFERROR(AG23/AF23-1,"-")</f>
        <v>0.34010152284263961</v>
      </c>
      <c r="AI23" s="41">
        <f t="shared" ref="AI23:AI27" si="5">IFERROR(AG23/AC23-1,"-")</f>
        <v>-0.13157894736842102</v>
      </c>
    </row>
    <row r="24" spans="1:35" x14ac:dyDescent="0.25">
      <c r="A24" s="29" t="s">
        <v>85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>
        <v>4.16</v>
      </c>
      <c r="S24" s="29">
        <v>10.37</v>
      </c>
      <c r="T24" s="29">
        <v>11.29</v>
      </c>
      <c r="U24" s="29">
        <v>15.27</v>
      </c>
      <c r="V24" s="29">
        <v>1.64</v>
      </c>
      <c r="W24" s="29">
        <v>0.11</v>
      </c>
      <c r="X24" s="29">
        <v>0.45</v>
      </c>
      <c r="Y24" s="29">
        <v>8.27</v>
      </c>
      <c r="Z24" s="29">
        <v>0.86</v>
      </c>
      <c r="AA24" s="29">
        <v>3.26</v>
      </c>
      <c r="AB24" s="29">
        <v>11.02</v>
      </c>
      <c r="AC24" s="29">
        <f>13.63+0.24</f>
        <v>13.870000000000001</v>
      </c>
      <c r="AD24" s="29">
        <v>4.4800000000000004</v>
      </c>
      <c r="AE24" s="29">
        <v>7.0000000000000007E-2</v>
      </c>
      <c r="AF24" s="29">
        <v>8.19</v>
      </c>
      <c r="AG24" s="28">
        <v>10.99</v>
      </c>
      <c r="AH24" s="41">
        <f t="shared" si="4"/>
        <v>0.341880341880342</v>
      </c>
      <c r="AI24" s="41">
        <f t="shared" si="5"/>
        <v>-0.20764239365537129</v>
      </c>
    </row>
    <row r="25" spans="1:35" ht="30" x14ac:dyDescent="0.25">
      <c r="A25" s="51" t="s">
        <v>86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>
        <f>0.55</f>
        <v>0.55000000000000004</v>
      </c>
      <c r="S25" s="29">
        <v>0.78</v>
      </c>
      <c r="T25" s="29">
        <v>0.85</v>
      </c>
      <c r="U25" s="29">
        <f>0.92+0.29</f>
        <v>1.21</v>
      </c>
      <c r="V25" s="29">
        <v>0.83</v>
      </c>
      <c r="W25" s="29">
        <v>2.16</v>
      </c>
      <c r="X25" s="29">
        <v>1.01</v>
      </c>
      <c r="Y25" s="29">
        <v>0.92</v>
      </c>
      <c r="Z25" s="29">
        <v>0.78</v>
      </c>
      <c r="AA25" s="29">
        <v>0.67</v>
      </c>
      <c r="AB25" s="29">
        <v>0.66</v>
      </c>
      <c r="AC25" s="29">
        <f>1.11-0.7</f>
        <v>0.41000000000000014</v>
      </c>
      <c r="AD25" s="29">
        <v>0.59</v>
      </c>
      <c r="AE25" s="29">
        <v>0.72</v>
      </c>
      <c r="AF25" s="29">
        <v>0.17</v>
      </c>
      <c r="AG25" s="28">
        <v>0.87</v>
      </c>
      <c r="AH25" s="41">
        <f t="shared" si="4"/>
        <v>4.117647058823529</v>
      </c>
      <c r="AI25" s="41">
        <f t="shared" si="5"/>
        <v>1.1219512195121943</v>
      </c>
    </row>
    <row r="26" spans="1:35" x14ac:dyDescent="0.25">
      <c r="A26" s="29" t="s">
        <v>87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>
        <v>0.43</v>
      </c>
      <c r="S26" s="29">
        <v>0.31</v>
      </c>
      <c r="T26" s="29">
        <v>0.36</v>
      </c>
      <c r="U26" s="29">
        <v>0.35</v>
      </c>
      <c r="V26" s="29">
        <v>0.31</v>
      </c>
      <c r="W26" s="29">
        <v>0.31</v>
      </c>
      <c r="X26" s="29">
        <v>0.37</v>
      </c>
      <c r="Y26" s="29">
        <v>0.43</v>
      </c>
      <c r="Z26" s="29">
        <v>0.77</v>
      </c>
      <c r="AA26" s="29">
        <v>1.06</v>
      </c>
      <c r="AB26" s="29">
        <f>1.65+0.38</f>
        <v>2.0299999999999998</v>
      </c>
      <c r="AC26" s="29">
        <f>1.31-0.39</f>
        <v>0.92</v>
      </c>
      <c r="AD26" s="29">
        <v>0.98</v>
      </c>
      <c r="AE26" s="29">
        <f>1.13</f>
        <v>1.1299999999999999</v>
      </c>
      <c r="AF26" s="29">
        <v>1.49</v>
      </c>
      <c r="AG26" s="28">
        <v>1.34</v>
      </c>
      <c r="AH26" s="41">
        <f t="shared" si="4"/>
        <v>-0.10067114093959728</v>
      </c>
      <c r="AI26" s="41">
        <f t="shared" si="5"/>
        <v>0.45652173913043481</v>
      </c>
    </row>
    <row r="27" spans="1:35" s="4" customFormat="1" ht="31.2" x14ac:dyDescent="0.3">
      <c r="A27" s="71" t="s">
        <v>52</v>
      </c>
      <c r="B27" s="27">
        <v>-0.49808000000000002</v>
      </c>
      <c r="C27" s="27">
        <v>-0.29161999999999999</v>
      </c>
      <c r="D27" s="27">
        <v>0.12748999999999999</v>
      </c>
      <c r="E27" s="27">
        <v>0.316</v>
      </c>
      <c r="F27" s="27">
        <v>-3.36822</v>
      </c>
      <c r="G27" s="27">
        <v>0.26</v>
      </c>
      <c r="H27" s="27">
        <v>3.92</v>
      </c>
      <c r="I27" s="27">
        <v>0.8582200000000002</v>
      </c>
      <c r="J27" s="27">
        <v>1.1299999999999999</v>
      </c>
      <c r="K27" s="27">
        <v>1.6600000000000001</v>
      </c>
      <c r="L27" s="27">
        <f>2.71-K27-J27</f>
        <v>-8.0000000000000071E-2</v>
      </c>
      <c r="M27" s="27">
        <v>-1.94</v>
      </c>
      <c r="N27" s="27">
        <f>N22-N23</f>
        <v>0.80999999999999961</v>
      </c>
      <c r="O27" s="27">
        <v>7.59</v>
      </c>
      <c r="P27" s="27">
        <v>1.27</v>
      </c>
      <c r="Q27" s="27">
        <v>-2.62</v>
      </c>
      <c r="R27" s="27">
        <v>2.09</v>
      </c>
      <c r="S27" s="55">
        <v>-3.240000000000002</v>
      </c>
      <c r="T27" s="55">
        <v>4.3499999999999996</v>
      </c>
      <c r="U27" s="55">
        <f>-2.85-1.72-0.05</f>
        <v>-4.62</v>
      </c>
      <c r="V27" s="55">
        <v>5.58</v>
      </c>
      <c r="W27" s="55">
        <v>0.77</v>
      </c>
      <c r="X27" s="55">
        <v>2.98</v>
      </c>
      <c r="Y27" s="55">
        <f>6.53-1.62</f>
        <v>4.91</v>
      </c>
      <c r="Z27" s="55">
        <v>4.01</v>
      </c>
      <c r="AA27" s="55">
        <v>0.44</v>
      </c>
      <c r="AB27" s="55">
        <v>0.15</v>
      </c>
      <c r="AC27" s="55">
        <f>-12.11</f>
        <v>-12.11</v>
      </c>
      <c r="AD27" s="55">
        <v>5.67</v>
      </c>
      <c r="AE27" s="55">
        <v>0.67</v>
      </c>
      <c r="AF27" s="55">
        <v>6.2</v>
      </c>
      <c r="AG27" s="53">
        <v>-2.79</v>
      </c>
      <c r="AH27" s="38">
        <f t="shared" si="4"/>
        <v>-1.45</v>
      </c>
      <c r="AI27" s="38">
        <f t="shared" si="5"/>
        <v>-0.76961189099917426</v>
      </c>
    </row>
    <row r="28" spans="1:35" s="9" customFormat="1" ht="15.6" x14ac:dyDescent="0.3">
      <c r="A28" s="9" t="s">
        <v>93</v>
      </c>
      <c r="AH28" s="10"/>
      <c r="AI28" s="10"/>
    </row>
    <row r="29" spans="1:35" x14ac:dyDescent="0.25">
      <c r="A29" s="29" t="s">
        <v>53</v>
      </c>
      <c r="B29" s="29">
        <v>0.33717999999999998</v>
      </c>
      <c r="C29" s="29">
        <v>6.0659999999999999E-2</v>
      </c>
      <c r="D29" s="29">
        <v>-0.47071000000000002</v>
      </c>
      <c r="E29" s="29">
        <v>0.311</v>
      </c>
      <c r="F29" s="29">
        <v>-8.7870000000000004E-2</v>
      </c>
      <c r="G29" s="29">
        <v>1.48</v>
      </c>
      <c r="H29" s="29">
        <v>0.83</v>
      </c>
      <c r="I29" s="29">
        <v>-0.58213000000000015</v>
      </c>
      <c r="J29" s="29">
        <v>-1.1399999999999999</v>
      </c>
      <c r="K29" s="29">
        <v>-0.78</v>
      </c>
      <c r="L29" s="29">
        <f>-1.16-K29-J29</f>
        <v>0.76</v>
      </c>
      <c r="M29" s="29">
        <v>3.79</v>
      </c>
      <c r="N29" s="29">
        <v>1.83</v>
      </c>
      <c r="O29" s="29">
        <v>-3.88</v>
      </c>
      <c r="P29" s="29">
        <v>0.1</v>
      </c>
      <c r="Q29" s="29">
        <v>0.43</v>
      </c>
      <c r="R29" s="29">
        <v>1.1100000000000001</v>
      </c>
      <c r="S29" s="29">
        <v>-1.1599999999999999</v>
      </c>
      <c r="T29" s="29">
        <f>T14+T20+T27</f>
        <v>0.1899999999999995</v>
      </c>
      <c r="U29" s="29">
        <v>2.1300000000000008</v>
      </c>
      <c r="V29" s="29">
        <v>-1.98</v>
      </c>
      <c r="W29" s="29">
        <v>-1.32</v>
      </c>
      <c r="X29" s="29">
        <v>0.28000000000000003</v>
      </c>
      <c r="Y29" s="29">
        <v>5.12</v>
      </c>
      <c r="Z29" s="29">
        <v>-4.18</v>
      </c>
      <c r="AA29" s="29">
        <f>AA14+AA20+AA27</f>
        <v>0.32000000000000034</v>
      </c>
      <c r="AB29" s="29">
        <f>AB14+AB20+AB27</f>
        <v>2.85</v>
      </c>
      <c r="AC29" s="29">
        <f>-0.35</f>
        <v>-0.35</v>
      </c>
      <c r="AD29" s="29">
        <f>AD27+AD20+AD14</f>
        <v>-4.0400000000000009</v>
      </c>
      <c r="AE29" s="29">
        <f>AE14+AE20+AE27</f>
        <v>3.6799999999999997</v>
      </c>
      <c r="AF29" s="29">
        <f>AF14+AF20+AF27</f>
        <v>-0.96</v>
      </c>
      <c r="AG29" s="28">
        <f>AG14+AG20+AG27</f>
        <v>9.5800000000000018</v>
      </c>
      <c r="AH29" s="41">
        <f>IFERROR(AG29/AF29-1,"-")</f>
        <v>-10.97916666666667</v>
      </c>
      <c r="AI29" s="41">
        <f>IFERROR(AG29/AC29-1,"-")</f>
        <v>-28.371428571428577</v>
      </c>
    </row>
    <row r="30" spans="1:35" ht="30" x14ac:dyDescent="0.25">
      <c r="A30" s="51" t="s">
        <v>199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0.01</v>
      </c>
      <c r="AB30" s="29">
        <v>0</v>
      </c>
      <c r="AC30" s="29">
        <v>-0.18</v>
      </c>
      <c r="AD30" s="29">
        <v>-0.06</v>
      </c>
      <c r="AE30" s="29">
        <v>-0.1</v>
      </c>
      <c r="AF30" s="29">
        <v>0.02</v>
      </c>
      <c r="AG30" s="28">
        <v>-0.89</v>
      </c>
      <c r="AH30" s="41">
        <f t="shared" ref="AH30:AH32" si="6">IFERROR(AG30/AF30-1,"-")</f>
        <v>-45.5</v>
      </c>
      <c r="AI30" s="41">
        <f t="shared" ref="AI30:AI32" si="7">IFERROR(AG30/AC30-1,"-")</f>
        <v>3.9444444444444446</v>
      </c>
    </row>
    <row r="31" spans="1:35" x14ac:dyDescent="0.25">
      <c r="A31" s="29" t="s">
        <v>54</v>
      </c>
      <c r="B31" s="29">
        <v>0.86524000000000001</v>
      </c>
      <c r="C31" s="29">
        <v>1.20218</v>
      </c>
      <c r="D31" s="29">
        <v>2.4000000000000001E-4</v>
      </c>
      <c r="E31" s="29">
        <v>0.79200000000000004</v>
      </c>
      <c r="F31" s="29">
        <v>0.98677000000000004</v>
      </c>
      <c r="G31" s="29">
        <v>0.9</v>
      </c>
      <c r="H31" s="29">
        <v>2.38</v>
      </c>
      <c r="I31" s="29">
        <v>3.214</v>
      </c>
      <c r="J31" s="29">
        <v>2.62</v>
      </c>
      <c r="K31" s="29">
        <v>1.48</v>
      </c>
      <c r="L31" s="29">
        <v>0.7</v>
      </c>
      <c r="M31" s="29">
        <v>1.46</v>
      </c>
      <c r="N31" s="29">
        <v>5.26</v>
      </c>
      <c r="O31" s="29">
        <v>7.09</v>
      </c>
      <c r="P31" s="29">
        <v>3.21</v>
      </c>
      <c r="Q31" s="29">
        <v>3.31</v>
      </c>
      <c r="R31" s="29">
        <v>3.74</v>
      </c>
      <c r="S31" s="29">
        <v>4.8499999999999996</v>
      </c>
      <c r="T31" s="29">
        <v>3.69</v>
      </c>
      <c r="U31" s="29">
        <v>3.88</v>
      </c>
      <c r="V31" s="29">
        <v>6.22</v>
      </c>
      <c r="W31" s="29">
        <v>4.24</v>
      </c>
      <c r="X31" s="29">
        <v>2.71</v>
      </c>
      <c r="Y31" s="29">
        <v>2.99</v>
      </c>
      <c r="Z31" s="29">
        <v>8.11</v>
      </c>
      <c r="AA31" s="29">
        <v>3.93</v>
      </c>
      <c r="AB31" s="29">
        <v>4.26</v>
      </c>
      <c r="AC31" s="29">
        <v>7.11</v>
      </c>
      <c r="AD31" s="29">
        <v>6.58</v>
      </c>
      <c r="AE31" s="29">
        <v>2.48</v>
      </c>
      <c r="AF31" s="29">
        <v>6.17</v>
      </c>
      <c r="AG31" s="28">
        <v>5.37</v>
      </c>
      <c r="AH31" s="41">
        <f t="shared" si="6"/>
        <v>-0.12965964343598058</v>
      </c>
      <c r="AI31" s="41">
        <f t="shared" si="7"/>
        <v>-0.24472573839662448</v>
      </c>
    </row>
    <row r="32" spans="1:35" x14ac:dyDescent="0.25">
      <c r="A32" s="29" t="s">
        <v>55</v>
      </c>
      <c r="B32" s="29">
        <v>1.20242</v>
      </c>
      <c r="C32" s="29">
        <v>1.26284</v>
      </c>
      <c r="D32" s="29">
        <v>-0.47047</v>
      </c>
      <c r="E32" s="29">
        <v>0.98699999999999999</v>
      </c>
      <c r="F32" s="29">
        <v>0.89890000000000003</v>
      </c>
      <c r="G32" s="29">
        <v>2.38</v>
      </c>
      <c r="H32" s="29">
        <v>3.21</v>
      </c>
      <c r="I32" s="29">
        <v>2.62</v>
      </c>
      <c r="J32" s="29">
        <v>1.48</v>
      </c>
      <c r="K32" s="29">
        <v>0.7</v>
      </c>
      <c r="L32" s="29">
        <v>1.46</v>
      </c>
      <c r="M32" s="29">
        <v>5.25</v>
      </c>
      <c r="N32" s="29">
        <v>7.0860000000000003</v>
      </c>
      <c r="O32" s="29">
        <v>3.21</v>
      </c>
      <c r="P32" s="29">
        <v>3.31</v>
      </c>
      <c r="Q32" s="29">
        <v>3.74</v>
      </c>
      <c r="R32" s="29">
        <v>4.8499999999999996</v>
      </c>
      <c r="S32" s="29">
        <v>3.69</v>
      </c>
      <c r="T32" s="29">
        <v>3.88</v>
      </c>
      <c r="U32" s="29">
        <v>6.01</v>
      </c>
      <c r="V32" s="29">
        <v>4.24</v>
      </c>
      <c r="W32" s="29">
        <v>2.71</v>
      </c>
      <c r="X32" s="29">
        <v>2.99</v>
      </c>
      <c r="Y32" s="29">
        <v>8.11</v>
      </c>
      <c r="Z32" s="29">
        <v>3.93</v>
      </c>
      <c r="AA32" s="29">
        <v>4.26</v>
      </c>
      <c r="AB32" s="29">
        <v>7.11</v>
      </c>
      <c r="AC32" s="29">
        <v>6.58</v>
      </c>
      <c r="AD32" s="29">
        <v>2.48</v>
      </c>
      <c r="AE32" s="29">
        <v>6.17</v>
      </c>
      <c r="AF32" s="29">
        <v>5.21</v>
      </c>
      <c r="AG32" s="28">
        <v>14.95</v>
      </c>
      <c r="AH32" s="41">
        <f t="shared" si="6"/>
        <v>1.8694817658349328</v>
      </c>
      <c r="AI32" s="41">
        <f t="shared" si="7"/>
        <v>1.2720364741641337</v>
      </c>
    </row>
    <row r="33" spans="34:35" x14ac:dyDescent="0.25">
      <c r="AH33" s="1"/>
      <c r="AI33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31"/>
  <sheetViews>
    <sheetView zoomScaleNormal="100" workbookViewId="0">
      <pane xSplit="1" ySplit="1" topLeftCell="B14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10.54296875" defaultRowHeight="15" x14ac:dyDescent="0.25"/>
  <cols>
    <col min="1" max="1" width="37.453125" style="1" customWidth="1"/>
    <col min="2" max="7" width="10.54296875" style="1" customWidth="1"/>
    <col min="8" max="10" width="10.54296875" style="1"/>
    <col min="11" max="11" width="10.54296875" style="8"/>
    <col min="12" max="12" width="10.54296875" style="3"/>
    <col min="13" max="16384" width="10.54296875" style="1"/>
  </cols>
  <sheetData>
    <row r="1" spans="1:12" s="4" customFormat="1" ht="15.6" x14ac:dyDescent="0.3">
      <c r="A1" s="6" t="s">
        <v>92</v>
      </c>
      <c r="B1" s="26">
        <v>2014</v>
      </c>
      <c r="C1" s="26">
        <v>2015</v>
      </c>
      <c r="D1" s="26">
        <v>2016</v>
      </c>
      <c r="E1" s="26">
        <v>2017</v>
      </c>
      <c r="F1" s="26">
        <v>2018</v>
      </c>
      <c r="G1" s="26">
        <v>2019</v>
      </c>
      <c r="H1" s="26">
        <v>2020</v>
      </c>
      <c r="I1" s="26">
        <v>2021</v>
      </c>
      <c r="J1" s="26">
        <v>2022</v>
      </c>
      <c r="K1" s="86">
        <v>2023</v>
      </c>
      <c r="L1" s="26" t="s">
        <v>62</v>
      </c>
    </row>
    <row r="2" spans="1:12" s="9" customFormat="1" ht="15.6" x14ac:dyDescent="0.3">
      <c r="A2" s="9" t="s">
        <v>36</v>
      </c>
      <c r="L2" s="10"/>
    </row>
    <row r="3" spans="1:12" x14ac:dyDescent="0.25">
      <c r="A3" s="29" t="s">
        <v>150</v>
      </c>
      <c r="B3" s="1">
        <v>3.282</v>
      </c>
      <c r="C3" s="1">
        <v>4.1429999999999998</v>
      </c>
      <c r="D3" s="1">
        <v>3.9609999999999999</v>
      </c>
      <c r="E3" s="1">
        <v>8.67</v>
      </c>
      <c r="F3" s="1">
        <v>5.04</v>
      </c>
      <c r="G3" s="1">
        <v>-4.9400000000000004</v>
      </c>
      <c r="H3" s="1">
        <v>8.64</v>
      </c>
      <c r="I3" s="1">
        <v>1.5</v>
      </c>
      <c r="J3" s="1">
        <v>3.46</v>
      </c>
      <c r="K3" s="8">
        <v>8.7100000000000009</v>
      </c>
      <c r="L3" s="67">
        <f>K3/J3-1</f>
        <v>1.5173410404624281</v>
      </c>
    </row>
    <row r="4" spans="1:12" x14ac:dyDescent="0.25">
      <c r="A4" s="29" t="s">
        <v>37</v>
      </c>
      <c r="B4" s="1">
        <v>-1.194</v>
      </c>
      <c r="C4" s="1">
        <v>1.2170000000000001</v>
      </c>
      <c r="D4" s="1">
        <v>2.371</v>
      </c>
      <c r="E4" s="1">
        <v>-0.2</v>
      </c>
      <c r="F4" s="1">
        <v>5.7</v>
      </c>
      <c r="G4" s="1">
        <v>2.6</v>
      </c>
      <c r="H4" s="1">
        <v>0.18</v>
      </c>
      <c r="I4" s="1">
        <v>3.8</v>
      </c>
      <c r="J4" s="1">
        <v>16.350000000000001</v>
      </c>
      <c r="K4" s="8">
        <v>-1.0900000000000001</v>
      </c>
      <c r="L4" s="67">
        <f t="shared" ref="L4:L14" si="0">K4/J4-1</f>
        <v>-1.0666666666666667</v>
      </c>
    </row>
    <row r="5" spans="1:12" x14ac:dyDescent="0.25">
      <c r="A5" s="29" t="s">
        <v>38</v>
      </c>
      <c r="B5" s="1">
        <v>3.3780000000000001</v>
      </c>
      <c r="C5" s="1">
        <v>3.6070000000000002</v>
      </c>
      <c r="D5" s="1">
        <v>4.4530000000000003</v>
      </c>
      <c r="E5" s="1">
        <v>5.03</v>
      </c>
      <c r="F5" s="1">
        <v>6.84</v>
      </c>
      <c r="G5" s="1">
        <v>8.2899999999999991</v>
      </c>
      <c r="H5" s="1">
        <v>9.74</v>
      </c>
      <c r="I5" s="1">
        <v>10.25</v>
      </c>
      <c r="J5" s="1">
        <v>11.33</v>
      </c>
      <c r="K5" s="8">
        <v>12.14</v>
      </c>
      <c r="L5" s="67">
        <f t="shared" si="0"/>
        <v>7.1491615180935719E-2</v>
      </c>
    </row>
    <row r="6" spans="1:12" x14ac:dyDescent="0.25">
      <c r="A6" s="29" t="s">
        <v>39</v>
      </c>
      <c r="B6" s="1">
        <v>-4.3999999999999997E-2</v>
      </c>
      <c r="C6" s="1">
        <v>8.9999999999999993E-3</v>
      </c>
      <c r="D6" s="1">
        <v>1.202</v>
      </c>
      <c r="E6" s="1">
        <v>-1.32</v>
      </c>
      <c r="F6" s="1">
        <v>-0.02</v>
      </c>
      <c r="G6" s="1">
        <v>-2.89</v>
      </c>
      <c r="H6" s="1">
        <v>-0.42</v>
      </c>
      <c r="I6" s="1">
        <v>2.3199999999999998</v>
      </c>
      <c r="J6" s="1">
        <v>-0.88</v>
      </c>
      <c r="K6" s="8">
        <v>-3.7</v>
      </c>
      <c r="L6" s="67">
        <f t="shared" si="0"/>
        <v>3.204545454545455</v>
      </c>
    </row>
    <row r="7" spans="1:12" ht="30" x14ac:dyDescent="0.25">
      <c r="A7" s="51" t="s">
        <v>197</v>
      </c>
      <c r="B7" s="1">
        <v>0.66500000000000004</v>
      </c>
      <c r="C7" s="1">
        <v>0.61</v>
      </c>
      <c r="D7" s="1">
        <v>0.61899999999999999</v>
      </c>
      <c r="E7" s="1">
        <v>0.73</v>
      </c>
      <c r="F7" s="1">
        <v>1.1499999999999999</v>
      </c>
      <c r="G7" s="1">
        <v>1.66</v>
      </c>
      <c r="H7" s="1">
        <v>1.1599999999999999</v>
      </c>
      <c r="I7" s="1">
        <v>1.57</v>
      </c>
      <c r="J7" s="1">
        <f>4.78</f>
        <v>4.78</v>
      </c>
      <c r="K7" s="8">
        <v>5.29</v>
      </c>
      <c r="L7" s="67">
        <f t="shared" si="0"/>
        <v>0.10669456066945604</v>
      </c>
    </row>
    <row r="8" spans="1:12" x14ac:dyDescent="0.25">
      <c r="A8" s="29" t="s">
        <v>40</v>
      </c>
      <c r="B8" s="1">
        <v>0.10100000000000001</v>
      </c>
      <c r="C8" s="1">
        <v>-0.111</v>
      </c>
      <c r="D8" s="1">
        <v>-4.5999999999999999E-2</v>
      </c>
      <c r="E8" s="1">
        <v>-0.04</v>
      </c>
      <c r="F8" s="1">
        <v>-0.2</v>
      </c>
      <c r="G8" s="1">
        <v>-0.25</v>
      </c>
      <c r="H8" s="1">
        <v>-0.69</v>
      </c>
      <c r="I8" s="1">
        <v>-0.41</v>
      </c>
      <c r="J8" s="1">
        <v>-0.19</v>
      </c>
      <c r="K8" s="8">
        <v>1.62</v>
      </c>
      <c r="L8" s="67">
        <f t="shared" si="0"/>
        <v>-9.526315789473685</v>
      </c>
    </row>
    <row r="9" spans="1:12" x14ac:dyDescent="0.25">
      <c r="A9" s="29" t="s">
        <v>41</v>
      </c>
      <c r="B9" s="1">
        <v>-0.71599999999999997</v>
      </c>
      <c r="C9" s="1">
        <v>-0.26200000000000001</v>
      </c>
      <c r="D9" s="1">
        <v>0.36799999999999999</v>
      </c>
      <c r="E9" s="1">
        <v>3.36</v>
      </c>
      <c r="F9" s="1">
        <v>0.35</v>
      </c>
      <c r="G9" s="1">
        <v>-0.44</v>
      </c>
      <c r="H9" s="1">
        <v>1.29</v>
      </c>
      <c r="I9" s="1">
        <v>5.45</v>
      </c>
      <c r="J9" s="1">
        <v>-0.34</v>
      </c>
      <c r="K9" s="8">
        <v>-14.27</v>
      </c>
      <c r="L9" s="67">
        <f t="shared" si="0"/>
        <v>40.970588235294116</v>
      </c>
    </row>
    <row r="10" spans="1:12" x14ac:dyDescent="0.25">
      <c r="A10" s="29" t="s">
        <v>42</v>
      </c>
      <c r="B10" s="1">
        <v>-1.0269999999999999</v>
      </c>
      <c r="C10" s="1">
        <v>3.8330000000000002</v>
      </c>
      <c r="D10" s="1">
        <v>-5.3</v>
      </c>
      <c r="E10" s="1">
        <v>-2.76</v>
      </c>
      <c r="F10" s="1">
        <v>-3.54</v>
      </c>
      <c r="G10" s="1">
        <v>-6.03</v>
      </c>
      <c r="H10" s="1">
        <v>-3.71</v>
      </c>
      <c r="I10" s="1">
        <v>-23.76</v>
      </c>
      <c r="J10" s="1">
        <v>4.24</v>
      </c>
      <c r="K10" s="8">
        <v>-21.3</v>
      </c>
      <c r="L10" s="67">
        <f t="shared" si="0"/>
        <v>-6.0235849056603774</v>
      </c>
    </row>
    <row r="11" spans="1:12" ht="33" customHeight="1" x14ac:dyDescent="0.25">
      <c r="A11" s="51" t="s">
        <v>43</v>
      </c>
      <c r="B11" s="1">
        <v>-2.661</v>
      </c>
      <c r="C11" s="1">
        <v>-1.4490000000000001</v>
      </c>
      <c r="D11" s="1">
        <v>-2.0350000000000001</v>
      </c>
      <c r="E11" s="1">
        <v>-4.2699999999999996</v>
      </c>
      <c r="F11" s="1">
        <v>-6.95</v>
      </c>
      <c r="G11" s="1">
        <v>3.95</v>
      </c>
      <c r="H11" s="1">
        <v>-2.59</v>
      </c>
      <c r="I11" s="1">
        <v>-12.77</v>
      </c>
      <c r="J11" s="1">
        <v>-3.48</v>
      </c>
      <c r="K11" s="8">
        <v>20.63</v>
      </c>
      <c r="L11" s="67">
        <f t="shared" si="0"/>
        <v>-6.9281609195402298</v>
      </c>
    </row>
    <row r="12" spans="1:12" x14ac:dyDescent="0.25">
      <c r="A12" s="29" t="s">
        <v>44</v>
      </c>
      <c r="B12" s="1">
        <v>-0.78900000000000003</v>
      </c>
      <c r="C12" s="1">
        <v>-3.234</v>
      </c>
      <c r="D12" s="1">
        <v>4.734</v>
      </c>
      <c r="E12" s="1">
        <v>1.5</v>
      </c>
      <c r="F12" s="1">
        <v>10</v>
      </c>
      <c r="G12" s="1">
        <v>-0.62</v>
      </c>
      <c r="H12" s="1">
        <v>-2.02</v>
      </c>
      <c r="I12" s="1">
        <v>21.1</v>
      </c>
      <c r="J12" s="1">
        <v>-2.23</v>
      </c>
      <c r="K12" s="8">
        <v>-0.35</v>
      </c>
      <c r="L12" s="67">
        <f t="shared" si="0"/>
        <v>-0.84304932735426008</v>
      </c>
    </row>
    <row r="13" spans="1:12" x14ac:dyDescent="0.25">
      <c r="A13" s="29" t="s">
        <v>198</v>
      </c>
      <c r="B13" s="1">
        <v>0</v>
      </c>
      <c r="C13" s="1">
        <v>-1.724</v>
      </c>
      <c r="D13" s="1">
        <v>-1.554</v>
      </c>
      <c r="E13" s="1">
        <v>-2.35</v>
      </c>
      <c r="F13" s="1">
        <v>-1.55</v>
      </c>
      <c r="G13" s="1">
        <v>-1.19</v>
      </c>
      <c r="H13" s="1">
        <v>-1.8</v>
      </c>
      <c r="I13" s="1">
        <v>0.39</v>
      </c>
      <c r="J13" s="1">
        <v>-0.01</v>
      </c>
      <c r="K13" s="8">
        <v>-1.1499999999999999</v>
      </c>
      <c r="L13" s="67">
        <f t="shared" si="0"/>
        <v>113.99999999999999</v>
      </c>
    </row>
    <row r="14" spans="1:12" s="4" customFormat="1" ht="31.2" x14ac:dyDescent="0.3">
      <c r="A14" s="71" t="s">
        <v>45</v>
      </c>
      <c r="B14" s="4">
        <v>2.0880000000000001</v>
      </c>
      <c r="C14" s="4">
        <v>5.36</v>
      </c>
      <c r="D14" s="4">
        <v>6.3310000000000004</v>
      </c>
      <c r="E14" s="4">
        <v>8.4700000000000006</v>
      </c>
      <c r="F14" s="4">
        <v>10.74</v>
      </c>
      <c r="G14" s="4">
        <v>-2.34</v>
      </c>
      <c r="H14" s="4">
        <v>8.82</v>
      </c>
      <c r="I14" s="4">
        <v>5.3</v>
      </c>
      <c r="J14" s="4">
        <v>19.809999999999999</v>
      </c>
      <c r="K14" s="7">
        <v>7.62</v>
      </c>
      <c r="L14" s="68">
        <f t="shared" si="0"/>
        <v>-0.61534578495709236</v>
      </c>
    </row>
    <row r="15" spans="1:12" s="9" customFormat="1" ht="15.6" x14ac:dyDescent="0.3">
      <c r="A15" s="9" t="s">
        <v>46</v>
      </c>
    </row>
    <row r="16" spans="1:12" x14ac:dyDescent="0.25">
      <c r="A16" s="1" t="s">
        <v>47</v>
      </c>
      <c r="B16" s="1">
        <v>1.056</v>
      </c>
      <c r="C16" s="1">
        <v>9.8000000000000004E-2</v>
      </c>
      <c r="D16" s="1">
        <v>1.7210000000000001</v>
      </c>
      <c r="E16" s="1">
        <v>2.2000000000000002</v>
      </c>
      <c r="F16" s="1">
        <v>6.83</v>
      </c>
      <c r="G16" s="1">
        <v>2.13</v>
      </c>
      <c r="H16" s="1">
        <v>0.73</v>
      </c>
      <c r="I16" s="1">
        <v>0.17</v>
      </c>
      <c r="J16" s="1">
        <v>0.43</v>
      </c>
      <c r="K16" s="8">
        <v>0.05</v>
      </c>
      <c r="L16" s="67">
        <f>K16/J16-1</f>
        <v>-0.88372093023255816</v>
      </c>
    </row>
    <row r="17" spans="1:12" ht="30" x14ac:dyDescent="0.25">
      <c r="A17" s="50" t="s">
        <v>56</v>
      </c>
      <c r="B17" s="1">
        <v>1.0529999999999999</v>
      </c>
      <c r="C17" s="1">
        <v>9.8000000000000004E-2</v>
      </c>
      <c r="D17" s="1">
        <v>1.7210000000000001</v>
      </c>
      <c r="E17" s="1">
        <v>1.33</v>
      </c>
      <c r="F17" s="1">
        <v>6.21</v>
      </c>
      <c r="G17" s="1">
        <v>2.13</v>
      </c>
      <c r="H17" s="1">
        <v>0.73</v>
      </c>
      <c r="I17" s="1">
        <v>0.15</v>
      </c>
      <c r="J17" s="1">
        <v>0.24</v>
      </c>
      <c r="K17" s="8">
        <v>0.05</v>
      </c>
      <c r="L17" s="67">
        <f t="shared" ref="L17:L20" si="1">K17/J17-1</f>
        <v>-0.79166666666666663</v>
      </c>
    </row>
    <row r="18" spans="1:12" x14ac:dyDescent="0.25">
      <c r="A18" s="50" t="s">
        <v>48</v>
      </c>
      <c r="B18" s="1">
        <v>3.0760000000000001</v>
      </c>
      <c r="C18" s="1">
        <v>10.537000000000001</v>
      </c>
      <c r="D18" s="1">
        <v>7.585</v>
      </c>
      <c r="E18" s="1">
        <v>10.7</v>
      </c>
      <c r="F18" s="1">
        <v>15.71</v>
      </c>
      <c r="G18" s="1">
        <v>8.8699999999999992</v>
      </c>
      <c r="H18" s="1">
        <v>5.86</v>
      </c>
      <c r="I18" s="1">
        <v>17.61</v>
      </c>
      <c r="J18" s="1">
        <v>14.09</v>
      </c>
      <c r="K18" s="8">
        <v>9.16</v>
      </c>
      <c r="L18" s="67">
        <f t="shared" si="1"/>
        <v>-0.34989354151880769</v>
      </c>
    </row>
    <row r="19" spans="1:12" ht="30" x14ac:dyDescent="0.25">
      <c r="A19" s="50" t="s">
        <v>49</v>
      </c>
      <c r="B19" s="1">
        <v>3.0760000000000001</v>
      </c>
      <c r="C19" s="1">
        <v>10.537000000000001</v>
      </c>
      <c r="D19" s="1">
        <v>7.585</v>
      </c>
      <c r="E19" s="1">
        <v>10.7</v>
      </c>
      <c r="F19" s="1">
        <v>15.71</v>
      </c>
      <c r="G19" s="1">
        <v>8.8699999999999992</v>
      </c>
      <c r="H19" s="1">
        <v>5.14</v>
      </c>
      <c r="I19" s="1">
        <v>17.23</v>
      </c>
      <c r="J19" s="1">
        <v>13.56</v>
      </c>
      <c r="K19" s="8">
        <v>8.82</v>
      </c>
      <c r="L19" s="67">
        <f t="shared" si="1"/>
        <v>-0.34955752212389379</v>
      </c>
    </row>
    <row r="20" spans="1:12" s="4" customFormat="1" ht="31.2" x14ac:dyDescent="0.3">
      <c r="A20" s="74" t="s">
        <v>50</v>
      </c>
      <c r="B20" s="4">
        <v>-2.02</v>
      </c>
      <c r="C20" s="4">
        <v>-10.439</v>
      </c>
      <c r="D20" s="4">
        <v>-5.8639999999999999</v>
      </c>
      <c r="E20" s="4">
        <v>-8.5</v>
      </c>
      <c r="F20" s="4">
        <v>-8.8800000000000008</v>
      </c>
      <c r="G20" s="4">
        <v>-6.24</v>
      </c>
      <c r="H20" s="4">
        <v>-5.13</v>
      </c>
      <c r="I20" s="4">
        <v>-17.440000000000001</v>
      </c>
      <c r="J20" s="4">
        <v>-13.66</v>
      </c>
      <c r="K20" s="7">
        <v>-9.11</v>
      </c>
      <c r="L20" s="68">
        <f t="shared" si="1"/>
        <v>-0.33308931185944368</v>
      </c>
    </row>
    <row r="21" spans="1:12" s="9" customFormat="1" ht="15.6" x14ac:dyDescent="0.3">
      <c r="A21" s="9" t="s">
        <v>51</v>
      </c>
    </row>
    <row r="22" spans="1:12" x14ac:dyDescent="0.25">
      <c r="A22" s="1" t="s">
        <v>47</v>
      </c>
      <c r="B22" s="1">
        <v>1.472</v>
      </c>
      <c r="C22" s="1">
        <v>7.9329999999999998</v>
      </c>
      <c r="D22" s="1">
        <v>3.5779999999999998</v>
      </c>
      <c r="E22" s="1">
        <v>5.9</v>
      </c>
      <c r="F22" s="1">
        <v>12.389999999999999</v>
      </c>
      <c r="G22" s="1">
        <v>29.06</v>
      </c>
      <c r="H22" s="1">
        <v>17.309999999999999</v>
      </c>
      <c r="I22" s="1">
        <v>23.86</v>
      </c>
      <c r="J22" s="1">
        <v>14.45</v>
      </c>
      <c r="K22" s="8">
        <v>40.39</v>
      </c>
      <c r="L22" s="67">
        <f>K22/J22-1</f>
        <v>1.7951557093425605</v>
      </c>
    </row>
    <row r="23" spans="1:12" x14ac:dyDescent="0.25">
      <c r="A23" s="1" t="s">
        <v>48</v>
      </c>
      <c r="B23" s="1">
        <v>3.6419999999999999</v>
      </c>
      <c r="C23" s="1">
        <v>3.6709999999999998</v>
      </c>
      <c r="D23" s="1">
        <v>3.9239999999999999</v>
      </c>
      <c r="E23" s="1">
        <v>4.2300000000000004</v>
      </c>
      <c r="F23" s="1">
        <v>11.62</v>
      </c>
      <c r="G23" s="1">
        <v>22</v>
      </c>
      <c r="H23" s="1">
        <v>18.73</v>
      </c>
      <c r="I23" s="1">
        <v>9.6199999999999992</v>
      </c>
      <c r="J23" s="1">
        <v>22.11</v>
      </c>
      <c r="K23" s="8">
        <v>30.47</v>
      </c>
      <c r="L23" s="67">
        <f t="shared" ref="L23:L27" si="2">K23/J23-1</f>
        <v>0.37810945273631846</v>
      </c>
    </row>
    <row r="24" spans="1:12" x14ac:dyDescent="0.25">
      <c r="A24" s="1" t="s">
        <v>85</v>
      </c>
      <c r="B24" s="1">
        <v>2.2890000000000001</v>
      </c>
      <c r="C24" s="1">
        <v>1.669</v>
      </c>
      <c r="D24" s="1">
        <v>1.87</v>
      </c>
      <c r="E24" s="1">
        <v>0.32</v>
      </c>
      <c r="F24" s="1">
        <v>6.11</v>
      </c>
      <c r="G24" s="1">
        <v>14.68</v>
      </c>
      <c r="H24" s="1">
        <v>13.89</v>
      </c>
      <c r="I24" s="1">
        <v>3.28</v>
      </c>
      <c r="J24" s="1">
        <v>14.8</v>
      </c>
      <c r="K24" s="8">
        <v>17.920000000000002</v>
      </c>
      <c r="L24" s="67">
        <f t="shared" si="2"/>
        <v>0.21081081081081088</v>
      </c>
    </row>
    <row r="25" spans="1:12" ht="30" x14ac:dyDescent="0.25">
      <c r="A25" s="50" t="s">
        <v>86</v>
      </c>
      <c r="B25" s="1">
        <v>0.68</v>
      </c>
      <c r="C25" s="1">
        <v>1.37</v>
      </c>
      <c r="D25" s="1">
        <v>1.397</v>
      </c>
      <c r="E25" s="1">
        <v>2.17</v>
      </c>
      <c r="F25" s="1">
        <v>3.13</v>
      </c>
      <c r="G25" s="1">
        <v>4.62</v>
      </c>
      <c r="H25" s="1">
        <v>3.39</v>
      </c>
      <c r="I25" s="1">
        <v>4.92</v>
      </c>
      <c r="J25" s="1">
        <v>2.52</v>
      </c>
      <c r="K25" s="8">
        <v>7.28</v>
      </c>
      <c r="L25" s="67">
        <f t="shared" si="2"/>
        <v>1.8888888888888888</v>
      </c>
    </row>
    <row r="26" spans="1:12" x14ac:dyDescent="0.25">
      <c r="A26" s="1" t="s">
        <v>87</v>
      </c>
      <c r="B26" s="1">
        <v>0.67400000000000004</v>
      </c>
      <c r="C26" s="1">
        <v>0.63100000000000001</v>
      </c>
      <c r="D26" s="1">
        <v>0.65600000000000003</v>
      </c>
      <c r="E26" s="1">
        <v>0.73</v>
      </c>
      <c r="F26" s="1">
        <v>1.1599999999999999</v>
      </c>
      <c r="G26" s="1">
        <v>1.7</v>
      </c>
      <c r="H26" s="1">
        <v>1.45</v>
      </c>
      <c r="I26" s="1">
        <v>1.42</v>
      </c>
      <c r="J26" s="1">
        <v>4.78</v>
      </c>
      <c r="K26" s="8">
        <v>5.27</v>
      </c>
      <c r="L26" s="67">
        <f t="shared" si="2"/>
        <v>0.10251046025104582</v>
      </c>
    </row>
    <row r="27" spans="1:12" s="4" customFormat="1" ht="31.2" x14ac:dyDescent="0.3">
      <c r="A27" s="74" t="s">
        <v>52</v>
      </c>
      <c r="B27" s="4">
        <v>-2.17</v>
      </c>
      <c r="C27" s="4">
        <v>4.2629999999999999</v>
      </c>
      <c r="D27" s="4">
        <v>-0.34599999999999997</v>
      </c>
      <c r="E27" s="4">
        <v>1.67</v>
      </c>
      <c r="F27" s="4">
        <v>0.77</v>
      </c>
      <c r="G27" s="4">
        <v>7.05</v>
      </c>
      <c r="H27" s="4">
        <v>-1.42</v>
      </c>
      <c r="I27" s="4">
        <v>14.24</v>
      </c>
      <c r="J27" s="4">
        <v>-7.66</v>
      </c>
      <c r="K27" s="7">
        <v>9.92</v>
      </c>
      <c r="L27" s="68">
        <f t="shared" si="2"/>
        <v>-2.2950391644908619</v>
      </c>
    </row>
    <row r="28" spans="1:12" s="9" customFormat="1" ht="15.6" x14ac:dyDescent="0.3">
      <c r="A28" s="9" t="s">
        <v>93</v>
      </c>
    </row>
    <row r="29" spans="1:12" x14ac:dyDescent="0.25">
      <c r="A29" s="1" t="s">
        <v>53</v>
      </c>
      <c r="B29" s="1">
        <v>-2.1030000000000002</v>
      </c>
      <c r="C29" s="1">
        <v>-0.81599999999999995</v>
      </c>
      <c r="D29" s="1">
        <v>0.122</v>
      </c>
      <c r="E29" s="1">
        <v>1.64</v>
      </c>
      <c r="F29" s="1">
        <v>2.64</v>
      </c>
      <c r="G29" s="1">
        <v>-1.52</v>
      </c>
      <c r="H29" s="1">
        <v>2.27</v>
      </c>
      <c r="I29" s="1">
        <v>2.1</v>
      </c>
      <c r="J29" s="1">
        <v>-1.53</v>
      </c>
      <c r="K29" s="8">
        <v>8.42</v>
      </c>
      <c r="L29" s="67">
        <f>K29/J29-1</f>
        <v>-6.5032679738562091</v>
      </c>
    </row>
    <row r="30" spans="1:12" x14ac:dyDescent="0.25">
      <c r="A30" s="1" t="s">
        <v>54</v>
      </c>
      <c r="B30" s="1">
        <v>3.7850000000000001</v>
      </c>
      <c r="C30" s="1">
        <v>1.6819999999999999</v>
      </c>
      <c r="D30" s="1">
        <v>0.86499999999999999</v>
      </c>
      <c r="E30" s="1">
        <v>0.98</v>
      </c>
      <c r="F30" s="1">
        <v>2.62</v>
      </c>
      <c r="G30" s="1">
        <v>5.26</v>
      </c>
      <c r="H30" s="1">
        <v>3.74</v>
      </c>
      <c r="I30" s="1">
        <v>6.01</v>
      </c>
      <c r="J30" s="1">
        <v>8.11</v>
      </c>
      <c r="K30" s="8">
        <v>6.53</v>
      </c>
      <c r="L30" s="67">
        <f t="shared" ref="L30:L31" si="3">K30/J30-1</f>
        <v>-0.19482120838471018</v>
      </c>
    </row>
    <row r="31" spans="1:12" x14ac:dyDescent="0.25">
      <c r="A31" s="1" t="s">
        <v>55</v>
      </c>
      <c r="B31" s="1">
        <v>1.6819999999999999</v>
      </c>
      <c r="C31" s="1">
        <v>0.86499999999999999</v>
      </c>
      <c r="D31" s="1">
        <v>0.98699999999999999</v>
      </c>
      <c r="E31" s="1">
        <v>2.62</v>
      </c>
      <c r="F31" s="1">
        <v>5.26</v>
      </c>
      <c r="G31" s="1">
        <v>3.74</v>
      </c>
      <c r="H31" s="1">
        <v>6.01</v>
      </c>
      <c r="I31" s="1">
        <v>8.11</v>
      </c>
      <c r="J31" s="1">
        <v>6.58</v>
      </c>
      <c r="K31" s="8">
        <v>14.95</v>
      </c>
      <c r="L31" s="67">
        <f t="shared" si="3"/>
        <v>1.2720364741641337</v>
      </c>
    </row>
  </sheetData>
  <pageMargins left="0.25" right="0.25" top="0.75" bottom="0.75" header="0.3" footer="0.3"/>
  <pageSetup paperSize="9" scale="6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8"/>
  <sheetViews>
    <sheetView zoomScaleNormal="100" workbookViewId="0">
      <pane xSplit="1" ySplit="1" topLeftCell="Y2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10.54296875" defaultRowHeight="15" x14ac:dyDescent="0.25"/>
  <cols>
    <col min="1" max="1" width="36.453125" style="1" customWidth="1"/>
    <col min="2" max="15" width="10.54296875" style="1" customWidth="1"/>
    <col min="16" max="23" width="10.54296875" style="1"/>
    <col min="24" max="24" width="16.90625" style="1" bestFit="1" customWidth="1"/>
    <col min="25" max="25" width="13.90625" style="1" bestFit="1" customWidth="1"/>
    <col min="26" max="26" width="18.08984375" style="1" bestFit="1" customWidth="1"/>
    <col min="27" max="32" width="10.54296875" style="1"/>
    <col min="33" max="33" width="10.54296875" style="8"/>
    <col min="34" max="35" width="10.54296875" style="3"/>
    <col min="36" max="16384" width="10.54296875" style="1"/>
  </cols>
  <sheetData>
    <row r="1" spans="1:37" s="4" customFormat="1" ht="15.6" x14ac:dyDescent="0.3">
      <c r="A1" s="6" t="s">
        <v>92</v>
      </c>
      <c r="B1" s="4" t="s">
        <v>76</v>
      </c>
      <c r="C1" s="4" t="s">
        <v>77</v>
      </c>
      <c r="D1" s="4" t="s">
        <v>78</v>
      </c>
      <c r="E1" s="4" t="s">
        <v>79</v>
      </c>
      <c r="F1" s="4" t="s">
        <v>80</v>
      </c>
      <c r="G1" s="4" t="s">
        <v>124</v>
      </c>
      <c r="H1" s="4" t="s">
        <v>125</v>
      </c>
      <c r="I1" s="4" t="s">
        <v>129</v>
      </c>
      <c r="J1" s="4" t="s">
        <v>130</v>
      </c>
      <c r="K1" s="4" t="s">
        <v>132</v>
      </c>
      <c r="L1" s="4" t="s">
        <v>134</v>
      </c>
      <c r="M1" s="4" t="s">
        <v>136</v>
      </c>
      <c r="N1" s="4" t="s">
        <v>138</v>
      </c>
      <c r="O1" s="4" t="s">
        <v>140</v>
      </c>
      <c r="P1" s="4" t="s">
        <v>142</v>
      </c>
      <c r="Q1" s="4" t="s">
        <v>144</v>
      </c>
      <c r="R1" s="4" t="s">
        <v>146</v>
      </c>
      <c r="S1" s="4" t="s">
        <v>159</v>
      </c>
      <c r="T1" s="4" t="s">
        <v>161</v>
      </c>
      <c r="U1" s="4" t="s">
        <v>163</v>
      </c>
      <c r="V1" s="4" t="s">
        <v>165</v>
      </c>
      <c r="W1" s="4" t="s">
        <v>167</v>
      </c>
      <c r="X1" s="4" t="s">
        <v>170</v>
      </c>
      <c r="Y1" s="4" t="s">
        <v>173</v>
      </c>
      <c r="Z1" s="4" t="s">
        <v>174</v>
      </c>
      <c r="AA1" s="4" t="s">
        <v>176</v>
      </c>
      <c r="AB1" s="4" t="s">
        <v>179</v>
      </c>
      <c r="AC1" s="4" t="s">
        <v>181</v>
      </c>
      <c r="AD1" s="4" t="s">
        <v>183</v>
      </c>
      <c r="AE1" s="4" t="s">
        <v>200</v>
      </c>
      <c r="AF1" s="4" t="s">
        <v>203</v>
      </c>
      <c r="AG1" s="7" t="s">
        <v>207</v>
      </c>
      <c r="AH1" s="4" t="s">
        <v>63</v>
      </c>
      <c r="AI1" s="4" t="s">
        <v>62</v>
      </c>
    </row>
    <row r="2" spans="1:37" s="4" customFormat="1" ht="15.6" x14ac:dyDescent="0.3">
      <c r="A2" s="1" t="s">
        <v>169</v>
      </c>
      <c r="W2" s="1">
        <v>0.03</v>
      </c>
      <c r="X2" s="1">
        <v>5.72</v>
      </c>
      <c r="Y2" s="1">
        <v>2.41</v>
      </c>
      <c r="Z2" s="1">
        <v>1.75</v>
      </c>
      <c r="AA2" s="1">
        <v>0</v>
      </c>
      <c r="AB2" s="1">
        <v>0</v>
      </c>
      <c r="AC2" s="59">
        <v>0</v>
      </c>
      <c r="AD2" s="59">
        <v>0</v>
      </c>
      <c r="AE2" s="59">
        <v>0.04</v>
      </c>
      <c r="AF2" s="59">
        <v>0.03</v>
      </c>
      <c r="AG2" s="52">
        <v>0</v>
      </c>
      <c r="AH2" s="80">
        <f>IFERROR(AG2/AF2-1,"-")</f>
        <v>-1</v>
      </c>
      <c r="AI2" s="80" t="str">
        <f>IFERROR(AG2/AC2-1,"-")</f>
        <v>-</v>
      </c>
      <c r="AK2" s="1"/>
    </row>
    <row r="3" spans="1:37" x14ac:dyDescent="0.25">
      <c r="A3" s="1" t="s">
        <v>58</v>
      </c>
      <c r="B3" s="1">
        <v>0.11254</v>
      </c>
      <c r="C3" s="1">
        <v>1.9519999999999999E-2</v>
      </c>
      <c r="D3" s="1">
        <v>3.9899999999999998E-2</v>
      </c>
      <c r="E3" s="1">
        <v>0.65347999999999995</v>
      </c>
      <c r="F3" s="1">
        <v>0.17580000000000001</v>
      </c>
      <c r="G3" s="1">
        <v>0.4</v>
      </c>
      <c r="H3" s="1">
        <f>(1011.3-481.5)/1000</f>
        <v>0.52979999999999994</v>
      </c>
      <c r="I3" s="1">
        <f>1151.9/1000</f>
        <v>1.1519000000000001</v>
      </c>
      <c r="J3" s="1">
        <v>0.156</v>
      </c>
      <c r="K3" s="1">
        <v>0.22</v>
      </c>
      <c r="L3" s="1">
        <v>0.41</v>
      </c>
      <c r="M3" s="1">
        <v>0.08</v>
      </c>
      <c r="N3" s="1">
        <v>0</v>
      </c>
      <c r="O3" s="1">
        <v>0</v>
      </c>
      <c r="P3" s="1">
        <v>0.2</v>
      </c>
      <c r="Q3" s="1">
        <v>7.0000000000000007E-2</v>
      </c>
      <c r="R3" s="1">
        <v>7.0000000000000007E-2</v>
      </c>
      <c r="S3" s="1">
        <v>0</v>
      </c>
      <c r="T3" s="59">
        <f>0.07+0.09+0.02</f>
        <v>0.18</v>
      </c>
      <c r="U3" s="59">
        <v>7.0000000000000007E-2</v>
      </c>
      <c r="V3" s="59">
        <v>0.09</v>
      </c>
      <c r="W3" s="59">
        <v>0.31000000000000005</v>
      </c>
      <c r="X3" s="59">
        <v>1.1000000000000001</v>
      </c>
      <c r="Y3" s="59">
        <v>0</v>
      </c>
      <c r="Z3" s="59">
        <v>0.3</v>
      </c>
      <c r="AA3" s="59">
        <v>1.59</v>
      </c>
      <c r="AB3" s="59">
        <v>1.1499999999999999</v>
      </c>
      <c r="AC3" s="59">
        <v>0.65</v>
      </c>
      <c r="AD3" s="59">
        <v>0.06</v>
      </c>
      <c r="AE3" s="59">
        <f>0</f>
        <v>0</v>
      </c>
      <c r="AF3" s="59">
        <v>0</v>
      </c>
      <c r="AG3" s="52">
        <v>0.33</v>
      </c>
      <c r="AH3" s="80" t="str">
        <f t="shared" ref="AH3:AH7" si="0">IFERROR(AG3/AF3-1,"-")</f>
        <v>-</v>
      </c>
      <c r="AI3" s="80">
        <f t="shared" ref="AI3:AI7" si="1">IFERROR(AG3/AC3-1,"-")</f>
        <v>-0.49230769230769234</v>
      </c>
    </row>
    <row r="4" spans="1:37" x14ac:dyDescent="0.25">
      <c r="A4" s="1" t="s">
        <v>59</v>
      </c>
      <c r="B4" s="1">
        <v>0.14135</v>
      </c>
      <c r="C4" s="1">
        <v>4.9070000000000003E-2</v>
      </c>
      <c r="D4" s="1">
        <v>0.43437999999999999</v>
      </c>
      <c r="E4" s="1">
        <v>0.29980000000000001</v>
      </c>
      <c r="F4" s="1">
        <v>6.8400000000000002E-2</v>
      </c>
      <c r="G4" s="1">
        <v>7.0000000000000007E-2</v>
      </c>
      <c r="H4" s="1">
        <v>0.37569999999999998</v>
      </c>
      <c r="I4" s="1">
        <f>500.28/1000</f>
        <v>0.50027999999999995</v>
      </c>
      <c r="J4" s="1">
        <v>1.0064</v>
      </c>
      <c r="K4" s="1">
        <v>0.37</v>
      </c>
      <c r="L4" s="1">
        <v>0.23</v>
      </c>
      <c r="M4" s="1">
        <v>0.01</v>
      </c>
      <c r="N4" s="1">
        <v>0</v>
      </c>
      <c r="O4" s="1">
        <v>0.13</v>
      </c>
      <c r="P4" s="1">
        <v>0</v>
      </c>
      <c r="Q4" s="1">
        <v>0</v>
      </c>
      <c r="R4" s="1">
        <v>0.03</v>
      </c>
      <c r="S4" s="1">
        <v>0</v>
      </c>
      <c r="T4" s="59">
        <v>0.03</v>
      </c>
      <c r="U4" s="59">
        <v>0.44</v>
      </c>
      <c r="V4" s="59">
        <v>0</v>
      </c>
      <c r="W4" s="59">
        <v>0</v>
      </c>
      <c r="X4" s="59">
        <v>0.15</v>
      </c>
      <c r="Y4" s="59">
        <v>0.03</v>
      </c>
      <c r="Z4" s="59">
        <v>0</v>
      </c>
      <c r="AA4" s="59">
        <v>0</v>
      </c>
      <c r="AB4" s="59">
        <v>0</v>
      </c>
      <c r="AC4" s="59">
        <v>0</v>
      </c>
      <c r="AD4" s="59">
        <v>0</v>
      </c>
      <c r="AE4" s="59">
        <v>0.31</v>
      </c>
      <c r="AF4" s="59">
        <v>0</v>
      </c>
      <c r="AG4" s="52">
        <v>0</v>
      </c>
      <c r="AH4" s="80" t="str">
        <f t="shared" si="0"/>
        <v>-</v>
      </c>
      <c r="AI4" s="80" t="str">
        <f t="shared" si="1"/>
        <v>-</v>
      </c>
    </row>
    <row r="5" spans="1:37" x14ac:dyDescent="0.25">
      <c r="A5" s="1" t="s">
        <v>60</v>
      </c>
      <c r="B5" s="1">
        <v>0.40237000000000001</v>
      </c>
      <c r="C5" s="1">
        <v>7.7579999999999996E-2</v>
      </c>
      <c r="D5" s="1">
        <v>1.75109</v>
      </c>
      <c r="E5" s="1">
        <v>0.41781000000000001</v>
      </c>
      <c r="F5" s="1">
        <v>5.9499999999999997E-2</v>
      </c>
      <c r="G5" s="1">
        <v>0.06</v>
      </c>
      <c r="H5" s="1">
        <f>(302.5+1.6+86.6+481.5)/1000</f>
        <v>0.87220000000000009</v>
      </c>
      <c r="I5" s="1">
        <f>4511.24/1000</f>
        <v>4.5112399999999999</v>
      </c>
      <c r="J5" s="1">
        <v>1.976</v>
      </c>
      <c r="K5" s="1">
        <v>1.98</v>
      </c>
      <c r="L5" s="1">
        <v>2.57</v>
      </c>
      <c r="M5" s="1">
        <v>0.68</v>
      </c>
      <c r="N5" s="1">
        <v>0.5</v>
      </c>
      <c r="O5" s="1">
        <v>2.84</v>
      </c>
      <c r="P5" s="1">
        <v>0</v>
      </c>
      <c r="Q5" s="1">
        <v>0.44</v>
      </c>
      <c r="R5" s="1">
        <v>0.22</v>
      </c>
      <c r="S5" s="1">
        <v>0.39800000000000002</v>
      </c>
      <c r="T5" s="59">
        <f>1.14-0.09-0.02</f>
        <v>1.0299999999999998</v>
      </c>
      <c r="U5" s="59">
        <v>0</v>
      </c>
      <c r="V5" s="59">
        <v>0.06</v>
      </c>
      <c r="W5" s="59">
        <v>0</v>
      </c>
      <c r="X5" s="59">
        <v>0.76</v>
      </c>
      <c r="Y5" s="59">
        <v>0.87</v>
      </c>
      <c r="Z5" s="59">
        <v>0.13</v>
      </c>
      <c r="AA5" s="59">
        <v>0.53</v>
      </c>
      <c r="AB5" s="59">
        <v>0.46</v>
      </c>
      <c r="AC5" s="59">
        <v>0.53</v>
      </c>
      <c r="AD5" s="59">
        <v>0.05</v>
      </c>
      <c r="AE5" s="59">
        <f>3.53+0.12-0.05-3.8+0.94</f>
        <v>0.74000000000000021</v>
      </c>
      <c r="AF5" s="59">
        <f>0.61-0.06-0.21+0.12</f>
        <v>0.46000000000000008</v>
      </c>
      <c r="AG5" s="52">
        <v>1.23</v>
      </c>
      <c r="AH5" s="80">
        <f t="shared" si="0"/>
        <v>1.6739130434782603</v>
      </c>
      <c r="AI5" s="80">
        <f t="shared" si="1"/>
        <v>1.3207547169811318</v>
      </c>
    </row>
    <row r="6" spans="1:37" x14ac:dyDescent="0.25">
      <c r="A6" s="1" t="s">
        <v>61</v>
      </c>
      <c r="B6" s="1">
        <v>0.44679999999999997</v>
      </c>
      <c r="C6" s="1">
        <v>0.56025000000000003</v>
      </c>
      <c r="D6" s="1">
        <v>0.45685999999999999</v>
      </c>
      <c r="E6" s="1">
        <v>1.09355</v>
      </c>
      <c r="F6" s="1">
        <f>0.0262+0.25</f>
        <v>0.2762</v>
      </c>
      <c r="G6" s="1">
        <v>0.6</v>
      </c>
      <c r="H6" s="1">
        <v>1.0318799999999999</v>
      </c>
      <c r="I6" s="1">
        <f>1524.18/1000</f>
        <v>1.5241800000000001</v>
      </c>
      <c r="J6" s="1">
        <v>1.1000000000000001</v>
      </c>
      <c r="K6" s="1">
        <v>2.02</v>
      </c>
      <c r="L6" s="1">
        <v>1.04</v>
      </c>
      <c r="M6" s="1">
        <v>1.48</v>
      </c>
      <c r="N6" s="1">
        <v>1.5</v>
      </c>
      <c r="O6" s="1">
        <v>1.1000000000000001</v>
      </c>
      <c r="P6" s="1">
        <v>1.49</v>
      </c>
      <c r="Q6" s="1">
        <v>0.87</v>
      </c>
      <c r="R6" s="1">
        <v>0.24</v>
      </c>
      <c r="S6" s="1">
        <v>0.17</v>
      </c>
      <c r="T6" s="59">
        <v>2.72</v>
      </c>
      <c r="U6" s="59">
        <v>1.52</v>
      </c>
      <c r="V6" s="59">
        <v>0.9</v>
      </c>
      <c r="W6" s="59">
        <v>0</v>
      </c>
      <c r="X6" s="59">
        <v>0.7</v>
      </c>
      <c r="Y6" s="59">
        <v>1.02</v>
      </c>
      <c r="Z6" s="59">
        <f>0.12+0.8</f>
        <v>0.92</v>
      </c>
      <c r="AA6" s="59">
        <v>0.52</v>
      </c>
      <c r="AB6" s="59">
        <v>0.82</v>
      </c>
      <c r="AC6" s="59">
        <v>1.0900000000000001</v>
      </c>
      <c r="AD6" s="59">
        <v>0.57999999999999996</v>
      </c>
      <c r="AE6" s="59">
        <f>1.18-0.58</f>
        <v>0.6</v>
      </c>
      <c r="AF6" s="59">
        <v>2.61</v>
      </c>
      <c r="AG6" s="52">
        <v>2.0499999999999998</v>
      </c>
      <c r="AH6" s="80">
        <f t="shared" si="0"/>
        <v>-0.21455938697318011</v>
      </c>
      <c r="AI6" s="80">
        <f t="shared" si="1"/>
        <v>0.88073394495412805</v>
      </c>
    </row>
    <row r="7" spans="1:37" x14ac:dyDescent="0.25">
      <c r="A7" s="1" t="s">
        <v>75</v>
      </c>
      <c r="B7" s="1">
        <v>5.586E-2</v>
      </c>
      <c r="C7" s="1">
        <v>6.8409999999999999E-2</v>
      </c>
      <c r="D7" s="1">
        <v>3.7019999999999997E-2</v>
      </c>
      <c r="E7" s="1">
        <v>0.10218000000000001</v>
      </c>
      <c r="F7" s="1">
        <v>3.866E-2</v>
      </c>
      <c r="G7" s="1">
        <v>0.1</v>
      </c>
      <c r="H7" s="1">
        <f>(477.76-302.5)/1000</f>
        <v>0.17526</v>
      </c>
      <c r="I7" s="1">
        <f>313.17/1000</f>
        <v>0.31317</v>
      </c>
      <c r="J7" s="1">
        <v>2.7E-2</v>
      </c>
      <c r="K7" s="1">
        <v>0.1</v>
      </c>
      <c r="L7" s="1">
        <v>0.4</v>
      </c>
      <c r="M7" s="1">
        <v>0.05</v>
      </c>
      <c r="N7" s="1">
        <v>0.04</v>
      </c>
      <c r="O7" s="1">
        <v>0.02</v>
      </c>
      <c r="P7" s="1">
        <v>0</v>
      </c>
      <c r="Q7" s="1">
        <v>0.04</v>
      </c>
      <c r="R7" s="1">
        <v>0.22</v>
      </c>
      <c r="S7" s="1">
        <v>0.03</v>
      </c>
      <c r="T7" s="59">
        <v>0.3</v>
      </c>
      <c r="U7" s="59">
        <v>0</v>
      </c>
      <c r="V7" s="59">
        <v>0</v>
      </c>
      <c r="W7" s="59">
        <v>0.04</v>
      </c>
      <c r="X7" s="59">
        <v>0.02</v>
      </c>
      <c r="Y7" s="59">
        <v>0.04</v>
      </c>
      <c r="Z7" s="59">
        <v>0.55000000000000004</v>
      </c>
      <c r="AA7" s="59">
        <v>0.04</v>
      </c>
      <c r="AB7" s="59">
        <v>0.03</v>
      </c>
      <c r="AC7" s="59">
        <v>0.01</v>
      </c>
      <c r="AD7" s="59">
        <v>0.11</v>
      </c>
      <c r="AE7" s="59">
        <f>0.4-0.11</f>
        <v>0.29000000000000004</v>
      </c>
      <c r="AF7" s="59">
        <v>0.06</v>
      </c>
      <c r="AG7" s="52">
        <v>0.91</v>
      </c>
      <c r="AH7" s="80">
        <f t="shared" si="0"/>
        <v>14.166666666666668</v>
      </c>
      <c r="AI7" s="80">
        <f t="shared" si="1"/>
        <v>90</v>
      </c>
    </row>
    <row r="8" spans="1:37" s="4" customFormat="1" ht="15.6" x14ac:dyDescent="0.3">
      <c r="A8" s="4" t="s">
        <v>64</v>
      </c>
      <c r="B8" s="4">
        <f>SUM(B3:B7)</f>
        <v>1.1589200000000002</v>
      </c>
      <c r="C8" s="4">
        <f t="shared" ref="C8:H8" si="2">SUM(C3:C7)</f>
        <v>0.77483000000000002</v>
      </c>
      <c r="D8" s="4">
        <f t="shared" si="2"/>
        <v>2.7192499999999997</v>
      </c>
      <c r="E8" s="4">
        <f t="shared" si="2"/>
        <v>2.5668200000000003</v>
      </c>
      <c r="F8" s="4">
        <f t="shared" si="2"/>
        <v>0.61856000000000011</v>
      </c>
      <c r="G8" s="4">
        <f t="shared" si="2"/>
        <v>1.23</v>
      </c>
      <c r="H8" s="4">
        <f t="shared" si="2"/>
        <v>2.9848400000000002</v>
      </c>
      <c r="I8" s="4">
        <f t="shared" ref="I8:M8" si="3">SUM(I3:I7)</f>
        <v>8.000770000000001</v>
      </c>
      <c r="J8" s="4">
        <f t="shared" si="3"/>
        <v>4.2654000000000005</v>
      </c>
      <c r="K8" s="4">
        <f t="shared" si="3"/>
        <v>4.6899999999999995</v>
      </c>
      <c r="L8" s="4">
        <f t="shared" si="3"/>
        <v>4.6500000000000004</v>
      </c>
      <c r="M8" s="4">
        <f t="shared" si="3"/>
        <v>2.2999999999999998</v>
      </c>
      <c r="N8" s="4">
        <f t="shared" ref="N8:Q8" si="4">SUM(N3:N7)</f>
        <v>2.04</v>
      </c>
      <c r="O8" s="4">
        <f t="shared" si="4"/>
        <v>4.09</v>
      </c>
      <c r="P8" s="4">
        <f t="shared" si="4"/>
        <v>1.69</v>
      </c>
      <c r="Q8" s="4">
        <f t="shared" si="4"/>
        <v>1.42</v>
      </c>
      <c r="R8" s="4">
        <f t="shared" ref="R8:V8" si="5">SUM(R3:R7)</f>
        <v>0.78</v>
      </c>
      <c r="S8" s="4">
        <f t="shared" si="5"/>
        <v>0.59800000000000009</v>
      </c>
      <c r="T8" s="60">
        <f t="shared" si="5"/>
        <v>4.26</v>
      </c>
      <c r="U8" s="60">
        <f t="shared" si="5"/>
        <v>2.0300000000000002</v>
      </c>
      <c r="V8" s="60">
        <f t="shared" si="5"/>
        <v>1.05</v>
      </c>
      <c r="W8" s="60">
        <f t="shared" ref="W8:AB8" si="6">SUM(W2:W7)</f>
        <v>0.38000000000000006</v>
      </c>
      <c r="X8" s="60">
        <f t="shared" si="6"/>
        <v>8.4499999999999993</v>
      </c>
      <c r="Y8" s="60">
        <f t="shared" si="6"/>
        <v>4.37</v>
      </c>
      <c r="Z8" s="60">
        <f t="shared" si="6"/>
        <v>3.6499999999999995</v>
      </c>
      <c r="AA8" s="60">
        <f t="shared" si="6"/>
        <v>2.68</v>
      </c>
      <c r="AB8" s="60">
        <f t="shared" si="6"/>
        <v>2.4599999999999995</v>
      </c>
      <c r="AC8" s="60">
        <f>SUM(AC2:AC7)</f>
        <v>2.2800000000000002</v>
      </c>
      <c r="AD8" s="4">
        <f>SUM(AD2:AD7)</f>
        <v>0.79999999999999993</v>
      </c>
      <c r="AE8" s="4">
        <f>SUM(AE2:AE7)</f>
        <v>1.9800000000000004</v>
      </c>
      <c r="AF8" s="4">
        <f>SUM(AF2:AF7)</f>
        <v>3.16</v>
      </c>
      <c r="AG8" s="7">
        <f>SUM(AG2:AG7)</f>
        <v>4.5199999999999996</v>
      </c>
      <c r="AH8" s="68">
        <f>IFERROR(AG8/AF8-1,"-")</f>
        <v>0.43037974683544289</v>
      </c>
      <c r="AI8" s="68">
        <f>IFERROR(AG8/AC8-1,"-")</f>
        <v>0.98245614035087669</v>
      </c>
      <c r="AK8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11"/>
  <sheetViews>
    <sheetView zoomScaleNormal="100" zoomScalePageLayoutView="120" workbookViewId="0">
      <pane xSplit="1" ySplit="1" topLeftCell="AA2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10.54296875" defaultRowHeight="15" x14ac:dyDescent="0.25"/>
  <cols>
    <col min="1" max="1" width="34.54296875" style="14" bestFit="1" customWidth="1"/>
    <col min="2" max="35" width="7" style="14" bestFit="1" customWidth="1"/>
    <col min="36" max="39" width="7" style="14" customWidth="1"/>
    <col min="40" max="41" width="8" style="15" customWidth="1"/>
    <col min="42" max="16384" width="10.54296875" style="14"/>
  </cols>
  <sheetData>
    <row r="1" spans="1:43" s="13" customFormat="1" ht="15.6" x14ac:dyDescent="0.3">
      <c r="A1" s="12" t="s">
        <v>101</v>
      </c>
      <c r="B1" s="13" t="s">
        <v>94</v>
      </c>
      <c r="C1" s="13" t="s">
        <v>95</v>
      </c>
      <c r="D1" s="13" t="s">
        <v>96</v>
      </c>
      <c r="E1" s="13" t="s">
        <v>97</v>
      </c>
      <c r="F1" s="13" t="s">
        <v>98</v>
      </c>
      <c r="G1" s="13" t="s">
        <v>72</v>
      </c>
      <c r="H1" s="13" t="s">
        <v>73</v>
      </c>
      <c r="I1" s="13" t="s">
        <v>74</v>
      </c>
      <c r="J1" s="13" t="s">
        <v>76</v>
      </c>
      <c r="K1" s="13" t="s">
        <v>77</v>
      </c>
      <c r="L1" s="13" t="s">
        <v>78</v>
      </c>
      <c r="M1" s="13" t="s">
        <v>79</v>
      </c>
      <c r="N1" s="13" t="s">
        <v>80</v>
      </c>
      <c r="O1" s="13" t="s">
        <v>124</v>
      </c>
      <c r="P1" s="13" t="s">
        <v>125</v>
      </c>
      <c r="Q1" s="13" t="s">
        <v>129</v>
      </c>
      <c r="R1" s="13" t="s">
        <v>130</v>
      </c>
      <c r="S1" s="13" t="s">
        <v>132</v>
      </c>
      <c r="T1" s="13" t="s">
        <v>134</v>
      </c>
      <c r="U1" s="13" t="s">
        <v>136</v>
      </c>
      <c r="V1" s="13" t="s">
        <v>138</v>
      </c>
      <c r="W1" s="13" t="s">
        <v>140</v>
      </c>
      <c r="X1" s="13" t="s">
        <v>142</v>
      </c>
      <c r="Y1" s="13" t="s">
        <v>144</v>
      </c>
      <c r="Z1" s="13" t="s">
        <v>146</v>
      </c>
      <c r="AA1" s="13" t="s">
        <v>159</v>
      </c>
      <c r="AB1" s="13" t="s">
        <v>161</v>
      </c>
      <c r="AC1" s="13" t="s">
        <v>163</v>
      </c>
      <c r="AD1" s="13" t="s">
        <v>165</v>
      </c>
      <c r="AE1" s="13" t="s">
        <v>167</v>
      </c>
      <c r="AF1" s="13" t="s">
        <v>170</v>
      </c>
      <c r="AG1" s="13" t="s">
        <v>173</v>
      </c>
      <c r="AH1" s="13" t="s">
        <v>174</v>
      </c>
      <c r="AI1" s="13" t="s">
        <v>176</v>
      </c>
      <c r="AJ1" s="13" t="s">
        <v>179</v>
      </c>
      <c r="AK1" s="13" t="s">
        <v>181</v>
      </c>
      <c r="AL1" s="13" t="s">
        <v>183</v>
      </c>
      <c r="AM1" s="13" t="s">
        <v>200</v>
      </c>
      <c r="AN1" s="40" t="s">
        <v>203</v>
      </c>
      <c r="AO1" s="40" t="s">
        <v>205</v>
      </c>
      <c r="AP1" s="5" t="s">
        <v>63</v>
      </c>
      <c r="AQ1" s="5" t="s">
        <v>62</v>
      </c>
    </row>
    <row r="2" spans="1:43" s="9" customFormat="1" ht="15.6" x14ac:dyDescent="0.3">
      <c r="A2" s="9" t="s">
        <v>4</v>
      </c>
      <c r="G2" s="10"/>
    </row>
    <row r="3" spans="1:43" x14ac:dyDescent="0.25">
      <c r="A3" s="14" t="s">
        <v>102</v>
      </c>
      <c r="B3" s="14">
        <v>398</v>
      </c>
      <c r="C3" s="14">
        <v>399</v>
      </c>
      <c r="D3" s="14">
        <v>440</v>
      </c>
      <c r="E3" s="14">
        <v>437</v>
      </c>
      <c r="F3" s="14">
        <v>443</v>
      </c>
      <c r="G3" s="14">
        <v>452</v>
      </c>
      <c r="H3" s="14">
        <v>484</v>
      </c>
      <c r="I3" s="14">
        <v>465</v>
      </c>
      <c r="J3" s="14">
        <v>475</v>
      </c>
      <c r="K3" s="14">
        <v>492</v>
      </c>
      <c r="L3" s="14">
        <v>532</v>
      </c>
      <c r="M3" s="14">
        <v>527</v>
      </c>
      <c r="N3" s="14">
        <v>539</v>
      </c>
      <c r="O3" s="14">
        <v>534</v>
      </c>
      <c r="P3" s="14">
        <v>555</v>
      </c>
      <c r="Q3" s="14">
        <v>576</v>
      </c>
      <c r="R3" s="14">
        <v>596</v>
      </c>
      <c r="S3" s="14">
        <v>607</v>
      </c>
      <c r="T3" s="14">
        <v>622</v>
      </c>
      <c r="U3" s="14">
        <v>619</v>
      </c>
      <c r="V3" s="14">
        <v>620</v>
      </c>
      <c r="W3" s="14">
        <v>603</v>
      </c>
      <c r="X3" s="14">
        <v>591</v>
      </c>
      <c r="Y3" s="14">
        <v>579</v>
      </c>
      <c r="Z3" s="14">
        <v>568</v>
      </c>
      <c r="AA3" s="14">
        <v>528</v>
      </c>
      <c r="AB3" s="14">
        <v>507</v>
      </c>
      <c r="AC3" s="14">
        <v>503</v>
      </c>
      <c r="AD3" s="14">
        <v>503</v>
      </c>
      <c r="AE3" s="14">
        <v>494</v>
      </c>
      <c r="AF3" s="14">
        <v>475</v>
      </c>
      <c r="AG3" s="14">
        <v>474</v>
      </c>
      <c r="AH3" s="14">
        <v>473</v>
      </c>
      <c r="AI3" s="14">
        <v>476</v>
      </c>
      <c r="AJ3" s="14">
        <v>470</v>
      </c>
      <c r="AK3" s="14">
        <v>467</v>
      </c>
      <c r="AL3" s="14">
        <v>463</v>
      </c>
      <c r="AM3" s="14">
        <v>453</v>
      </c>
      <c r="AN3" s="15">
        <v>458</v>
      </c>
      <c r="AO3" s="15">
        <v>443</v>
      </c>
      <c r="AP3" s="11">
        <f>IFERROR(AO3/AN3-1,"-")</f>
        <v>-3.2751091703056789E-2</v>
      </c>
      <c r="AQ3" s="11">
        <f>IFERROR(AO3/AK3-1,"-")</f>
        <v>-5.1391862955032175E-2</v>
      </c>
    </row>
    <row r="4" spans="1:43" s="9" customFormat="1" ht="15.6" x14ac:dyDescent="0.3">
      <c r="A4" s="9" t="s">
        <v>99</v>
      </c>
      <c r="G4" s="10"/>
    </row>
    <row r="5" spans="1:43" s="23" customFormat="1" x14ac:dyDescent="0.25">
      <c r="A5" s="22" t="s">
        <v>5</v>
      </c>
      <c r="B5" s="23">
        <v>0.38</v>
      </c>
      <c r="C5" s="23">
        <v>0.4</v>
      </c>
      <c r="D5" s="23">
        <v>0.39</v>
      </c>
      <c r="E5" s="23">
        <v>0.41</v>
      </c>
      <c r="F5" s="23">
        <v>0.42</v>
      </c>
      <c r="G5" s="23">
        <v>0.42</v>
      </c>
      <c r="H5" s="23">
        <v>0.41</v>
      </c>
      <c r="I5" s="23">
        <v>0.44</v>
      </c>
      <c r="J5" s="23">
        <v>0.44</v>
      </c>
      <c r="K5" s="23">
        <v>0.44</v>
      </c>
      <c r="L5" s="23">
        <v>0.43</v>
      </c>
      <c r="M5" s="23">
        <v>0.45</v>
      </c>
      <c r="N5" s="23">
        <v>0.45</v>
      </c>
      <c r="O5" s="23">
        <v>0.46</v>
      </c>
      <c r="P5" s="23">
        <v>0.47</v>
      </c>
      <c r="Q5" s="23">
        <v>0.49</v>
      </c>
      <c r="R5" s="23">
        <v>0.5</v>
      </c>
      <c r="S5" s="23">
        <v>0.51</v>
      </c>
      <c r="T5" s="23">
        <v>0.52</v>
      </c>
      <c r="U5" s="23">
        <v>0.52</v>
      </c>
      <c r="V5" s="23">
        <v>0.51</v>
      </c>
      <c r="W5" s="23">
        <v>0.52</v>
      </c>
      <c r="X5" s="23">
        <v>0.52</v>
      </c>
      <c r="Y5" s="23">
        <v>0.52</v>
      </c>
      <c r="Z5" s="23">
        <v>0.52</v>
      </c>
      <c r="AA5" s="23">
        <v>0.53</v>
      </c>
      <c r="AB5" s="23">
        <v>0.54</v>
      </c>
      <c r="AC5" s="23">
        <v>0.54</v>
      </c>
      <c r="AD5" s="23">
        <v>0.54</v>
      </c>
      <c r="AE5" s="23">
        <v>0.54</v>
      </c>
      <c r="AF5" s="23">
        <v>0.54</v>
      </c>
      <c r="AG5" s="23">
        <v>0.54</v>
      </c>
      <c r="AH5" s="23">
        <v>0.56000000000000005</v>
      </c>
      <c r="AI5" s="23">
        <v>0.56999999999999995</v>
      </c>
      <c r="AJ5" s="69">
        <v>0.57999999999999996</v>
      </c>
      <c r="AK5" s="69">
        <v>0.56000000000000005</v>
      </c>
      <c r="AL5" s="69">
        <v>0.55000000000000004</v>
      </c>
      <c r="AM5" s="69">
        <v>0.56000000000000005</v>
      </c>
      <c r="AN5" s="93">
        <v>0.56000000000000005</v>
      </c>
      <c r="AO5" s="93">
        <v>0.55000000000000004</v>
      </c>
      <c r="AP5" s="11">
        <f t="shared" ref="AP5:AP10" si="0">IFERROR(AO5/AN5-1,"-")</f>
        <v>-1.7857142857142905E-2</v>
      </c>
      <c r="AQ5" s="11">
        <f t="shared" ref="AQ5:AQ11" si="1">IFERROR(AO5/AK5-1,"-")</f>
        <v>-1.7857142857142905E-2</v>
      </c>
    </row>
    <row r="6" spans="1:43" s="23" customFormat="1" x14ac:dyDescent="0.25">
      <c r="A6" s="22" t="s">
        <v>6</v>
      </c>
      <c r="B6" s="23">
        <v>0.33</v>
      </c>
      <c r="C6" s="23">
        <v>0.32</v>
      </c>
      <c r="D6" s="23">
        <v>0.33</v>
      </c>
      <c r="E6" s="23">
        <v>0.33</v>
      </c>
      <c r="F6" s="23">
        <v>0.34</v>
      </c>
      <c r="G6" s="23">
        <v>0.34</v>
      </c>
      <c r="H6" s="23">
        <v>0.36</v>
      </c>
      <c r="I6" s="23">
        <v>0.34</v>
      </c>
      <c r="J6" s="23">
        <v>0.36</v>
      </c>
      <c r="K6" s="23">
        <v>0.36</v>
      </c>
      <c r="L6" s="23">
        <v>0.35</v>
      </c>
      <c r="M6" s="23">
        <v>0.35</v>
      </c>
      <c r="N6" s="23">
        <v>0.35</v>
      </c>
      <c r="O6" s="23">
        <v>0.35</v>
      </c>
      <c r="P6" s="23">
        <v>0.34</v>
      </c>
      <c r="Q6" s="23">
        <v>0.33</v>
      </c>
      <c r="R6" s="23">
        <v>0.32</v>
      </c>
      <c r="S6" s="23">
        <v>0.31</v>
      </c>
      <c r="T6" s="23">
        <v>0.31</v>
      </c>
      <c r="U6" s="23">
        <v>0.31</v>
      </c>
      <c r="V6" s="23">
        <v>0.32</v>
      </c>
      <c r="W6" s="23">
        <v>0.32</v>
      </c>
      <c r="X6" s="23">
        <v>0.31</v>
      </c>
      <c r="Y6" s="23">
        <v>0.31</v>
      </c>
      <c r="Z6" s="23">
        <v>0.31</v>
      </c>
      <c r="AA6" s="23">
        <v>0.3</v>
      </c>
      <c r="AB6" s="23">
        <v>0.3</v>
      </c>
      <c r="AC6" s="23">
        <v>0.3</v>
      </c>
      <c r="AD6" s="23">
        <v>0.3</v>
      </c>
      <c r="AE6" s="23">
        <v>0.3</v>
      </c>
      <c r="AF6" s="23">
        <v>0.3</v>
      </c>
      <c r="AG6" s="23">
        <v>0.3</v>
      </c>
      <c r="AH6" s="23">
        <v>0.28000000000000003</v>
      </c>
      <c r="AI6" s="23">
        <v>0.28999999999999998</v>
      </c>
      <c r="AJ6" s="69">
        <v>0.28000000000000003</v>
      </c>
      <c r="AK6" s="69">
        <v>0.28999999999999998</v>
      </c>
      <c r="AL6" s="69">
        <v>0.3</v>
      </c>
      <c r="AM6" s="69">
        <v>0.28999999999999998</v>
      </c>
      <c r="AN6" s="93">
        <v>0.3</v>
      </c>
      <c r="AO6" s="93">
        <v>0.3</v>
      </c>
      <c r="AP6" s="11">
        <f t="shared" si="0"/>
        <v>0</v>
      </c>
      <c r="AQ6" s="11">
        <f t="shared" si="1"/>
        <v>3.4482758620689724E-2</v>
      </c>
    </row>
    <row r="7" spans="1:43" s="23" customFormat="1" x14ac:dyDescent="0.25">
      <c r="A7" s="22" t="s">
        <v>7</v>
      </c>
      <c r="B7" s="23">
        <v>0.24</v>
      </c>
      <c r="C7" s="23">
        <v>0.23</v>
      </c>
      <c r="D7" s="23">
        <v>0.24</v>
      </c>
      <c r="E7" s="23">
        <v>0.22</v>
      </c>
      <c r="F7" s="23">
        <v>0.2</v>
      </c>
      <c r="G7" s="23">
        <v>0.2</v>
      </c>
      <c r="H7" s="23">
        <v>0.19</v>
      </c>
      <c r="I7" s="23">
        <v>0.18</v>
      </c>
      <c r="J7" s="23">
        <v>0.16</v>
      </c>
      <c r="K7" s="23">
        <v>0.16</v>
      </c>
      <c r="L7" s="23">
        <v>0.17</v>
      </c>
      <c r="M7" s="23">
        <v>0.16</v>
      </c>
      <c r="N7" s="23">
        <v>0.16</v>
      </c>
      <c r="O7" s="23">
        <v>0.15</v>
      </c>
      <c r="P7" s="23">
        <v>0.15</v>
      </c>
      <c r="Q7" s="23">
        <v>0.13</v>
      </c>
      <c r="R7" s="23">
        <v>0.13</v>
      </c>
      <c r="S7" s="23">
        <v>0.13</v>
      </c>
      <c r="T7" s="23">
        <v>0.13</v>
      </c>
      <c r="U7" s="23">
        <v>0.13</v>
      </c>
      <c r="V7" s="23">
        <v>0.13</v>
      </c>
      <c r="W7" s="23">
        <v>0.12</v>
      </c>
      <c r="X7" s="23">
        <v>0.13</v>
      </c>
      <c r="Y7" s="23">
        <v>0.13</v>
      </c>
      <c r="Z7" s="23">
        <v>0.13</v>
      </c>
      <c r="AA7" s="23">
        <v>0.13</v>
      </c>
      <c r="AB7" s="23">
        <v>0.12</v>
      </c>
      <c r="AC7" s="23">
        <v>0.12</v>
      </c>
      <c r="AD7" s="23">
        <v>0.12</v>
      </c>
      <c r="AE7" s="23">
        <v>0.12</v>
      </c>
      <c r="AF7" s="23">
        <v>0.12</v>
      </c>
      <c r="AG7" s="23">
        <v>0.12</v>
      </c>
      <c r="AH7" s="23">
        <v>0.12</v>
      </c>
      <c r="AI7" s="23">
        <v>0.11</v>
      </c>
      <c r="AJ7" s="69">
        <v>0.11</v>
      </c>
      <c r="AK7" s="69">
        <v>0.11</v>
      </c>
      <c r="AL7" s="69">
        <v>0.11</v>
      </c>
      <c r="AM7" s="69">
        <v>0.11</v>
      </c>
      <c r="AN7" s="93">
        <v>0.11</v>
      </c>
      <c r="AO7" s="93">
        <v>0.11</v>
      </c>
      <c r="AP7" s="11">
        <f t="shared" si="0"/>
        <v>0</v>
      </c>
      <c r="AQ7" s="11">
        <f t="shared" si="1"/>
        <v>0</v>
      </c>
    </row>
    <row r="8" spans="1:43" s="23" customFormat="1" x14ac:dyDescent="0.25">
      <c r="A8" s="24" t="s">
        <v>8</v>
      </c>
      <c r="B8" s="23">
        <v>0.05</v>
      </c>
      <c r="C8" s="23">
        <v>0.05</v>
      </c>
      <c r="D8" s="23">
        <v>0.04</v>
      </c>
      <c r="E8" s="23">
        <v>0.04</v>
      </c>
      <c r="F8" s="23">
        <v>0.04</v>
      </c>
      <c r="G8" s="23">
        <v>0.04</v>
      </c>
      <c r="H8" s="23">
        <v>0.04</v>
      </c>
      <c r="I8" s="23">
        <v>0.04</v>
      </c>
      <c r="J8" s="23">
        <v>0.04</v>
      </c>
      <c r="K8" s="23">
        <v>0.04</v>
      </c>
      <c r="L8" s="23">
        <v>0.05</v>
      </c>
      <c r="M8" s="23">
        <v>0.04</v>
      </c>
      <c r="N8" s="23">
        <v>0.04</v>
      </c>
      <c r="O8" s="23">
        <v>0.04</v>
      </c>
      <c r="P8" s="23">
        <v>0.04</v>
      </c>
      <c r="Q8" s="23">
        <v>0.05</v>
      </c>
      <c r="R8" s="23">
        <v>0.05</v>
      </c>
      <c r="S8" s="23">
        <v>0.05</v>
      </c>
      <c r="T8" s="23">
        <v>0.04</v>
      </c>
      <c r="U8" s="23">
        <v>0.04</v>
      </c>
      <c r="V8" s="23">
        <v>0.04</v>
      </c>
      <c r="W8" s="23">
        <v>0.04</v>
      </c>
      <c r="X8" s="23">
        <v>0.04</v>
      </c>
      <c r="Y8" s="23">
        <v>0.04</v>
      </c>
      <c r="Z8" s="23">
        <v>0.04</v>
      </c>
      <c r="AA8" s="23">
        <v>0.04</v>
      </c>
      <c r="AB8" s="23">
        <v>0.04</v>
      </c>
      <c r="AC8" s="23">
        <v>0.04</v>
      </c>
      <c r="AD8" s="23">
        <v>0.04</v>
      </c>
      <c r="AE8" s="23">
        <v>0.04</v>
      </c>
      <c r="AF8" s="23">
        <v>0.04</v>
      </c>
      <c r="AG8" s="23">
        <v>0.04</v>
      </c>
      <c r="AH8" s="23">
        <v>0.04</v>
      </c>
      <c r="AI8" s="23">
        <v>0.03</v>
      </c>
      <c r="AJ8" s="69">
        <v>0.03</v>
      </c>
      <c r="AK8" s="69">
        <v>0.04</v>
      </c>
      <c r="AL8" s="69">
        <v>0.04</v>
      </c>
      <c r="AM8" s="69">
        <v>0.04</v>
      </c>
      <c r="AN8" s="93">
        <v>0.03</v>
      </c>
      <c r="AO8" s="93">
        <v>0.04</v>
      </c>
      <c r="AP8" s="11">
        <f t="shared" si="0"/>
        <v>0.33333333333333348</v>
      </c>
      <c r="AQ8" s="11">
        <f t="shared" si="1"/>
        <v>0</v>
      </c>
    </row>
    <row r="9" spans="1:43" s="9" customFormat="1" ht="15.6" x14ac:dyDescent="0.3">
      <c r="A9" s="9" t="s">
        <v>100</v>
      </c>
      <c r="G9" s="10"/>
    </row>
    <row r="10" spans="1:43" s="23" customFormat="1" x14ac:dyDescent="0.25">
      <c r="A10" s="22" t="s">
        <v>9</v>
      </c>
      <c r="B10" s="23">
        <v>0.44</v>
      </c>
      <c r="C10" s="23">
        <v>0.45</v>
      </c>
      <c r="D10" s="23">
        <v>0.44</v>
      </c>
      <c r="E10" s="23">
        <v>0.43</v>
      </c>
      <c r="F10" s="23">
        <v>0.43</v>
      </c>
      <c r="G10" s="23">
        <v>0.44</v>
      </c>
      <c r="H10" s="23">
        <v>0.43</v>
      </c>
      <c r="I10" s="23">
        <v>0.43</v>
      </c>
      <c r="J10" s="23">
        <v>0.42</v>
      </c>
      <c r="K10" s="23">
        <v>0.42</v>
      </c>
      <c r="L10" s="23">
        <v>0.39</v>
      </c>
      <c r="M10" s="23">
        <v>0.42</v>
      </c>
      <c r="N10" s="23">
        <v>0.41</v>
      </c>
      <c r="O10" s="23">
        <v>0.41</v>
      </c>
      <c r="P10" s="23">
        <v>0.42</v>
      </c>
      <c r="Q10" s="23">
        <v>0.41</v>
      </c>
      <c r="R10" s="23">
        <v>0.4</v>
      </c>
      <c r="S10" s="23">
        <v>0.4</v>
      </c>
      <c r="T10" s="23">
        <v>0.39</v>
      </c>
      <c r="U10" s="23">
        <v>0.39</v>
      </c>
      <c r="V10" s="23">
        <v>0.4</v>
      </c>
      <c r="W10" s="23">
        <v>0.4</v>
      </c>
      <c r="X10" s="23">
        <v>0.41</v>
      </c>
      <c r="Y10" s="23">
        <v>0.41</v>
      </c>
      <c r="Z10" s="23">
        <v>0.4</v>
      </c>
      <c r="AA10" s="23">
        <v>0.41</v>
      </c>
      <c r="AB10" s="23">
        <v>0.41</v>
      </c>
      <c r="AC10" s="23">
        <v>0.41</v>
      </c>
      <c r="AD10" s="23">
        <v>0.41</v>
      </c>
      <c r="AE10" s="23">
        <v>0.41</v>
      </c>
      <c r="AF10" s="23">
        <v>0.41</v>
      </c>
      <c r="AG10" s="23">
        <v>0.41</v>
      </c>
      <c r="AH10" s="23">
        <v>0.41</v>
      </c>
      <c r="AI10" s="23">
        <v>0.42</v>
      </c>
      <c r="AJ10" s="69">
        <v>0.4</v>
      </c>
      <c r="AK10" s="69">
        <v>0.42</v>
      </c>
      <c r="AL10" s="69">
        <v>0.42</v>
      </c>
      <c r="AM10" s="69">
        <v>0.41</v>
      </c>
      <c r="AN10" s="93">
        <v>0.4</v>
      </c>
      <c r="AO10" s="93">
        <v>0.4</v>
      </c>
      <c r="AP10" s="11">
        <f t="shared" si="0"/>
        <v>0</v>
      </c>
      <c r="AQ10" s="11">
        <f t="shared" si="1"/>
        <v>-4.7619047619047561E-2</v>
      </c>
    </row>
    <row r="11" spans="1:43" s="23" customFormat="1" x14ac:dyDescent="0.25">
      <c r="A11" s="22" t="s">
        <v>10</v>
      </c>
      <c r="B11" s="23">
        <v>0.56000000000000005</v>
      </c>
      <c r="C11" s="23">
        <v>0.55000000000000004</v>
      </c>
      <c r="D11" s="23">
        <v>0.56000000000000005</v>
      </c>
      <c r="E11" s="23">
        <v>0.56999999999999995</v>
      </c>
      <c r="F11" s="23">
        <v>0.56999999999999995</v>
      </c>
      <c r="G11" s="23">
        <v>0.56000000000000005</v>
      </c>
      <c r="H11" s="23">
        <v>0.56999999999999995</v>
      </c>
      <c r="I11" s="23">
        <v>0.56999999999999995</v>
      </c>
      <c r="J11" s="23">
        <v>0.57999999999999996</v>
      </c>
      <c r="K11" s="23">
        <v>0.57999999999999996</v>
      </c>
      <c r="L11" s="23">
        <v>0.61</v>
      </c>
      <c r="M11" s="23">
        <v>0.57999999999999996</v>
      </c>
      <c r="N11" s="23">
        <v>0.59</v>
      </c>
      <c r="O11" s="23">
        <v>0.59</v>
      </c>
      <c r="P11" s="23">
        <v>0.57999999999999996</v>
      </c>
      <c r="Q11" s="23">
        <v>0.59</v>
      </c>
      <c r="R11" s="23">
        <v>0.6</v>
      </c>
      <c r="S11" s="23">
        <v>0.6</v>
      </c>
      <c r="T11" s="23">
        <v>0.61</v>
      </c>
      <c r="U11" s="23">
        <v>0.61</v>
      </c>
      <c r="V11" s="23">
        <v>0.6</v>
      </c>
      <c r="W11" s="23">
        <v>0.6</v>
      </c>
      <c r="X11" s="23">
        <v>0.59</v>
      </c>
      <c r="Y11" s="23">
        <v>0.59</v>
      </c>
      <c r="Z11" s="23">
        <v>0.6</v>
      </c>
      <c r="AA11" s="23">
        <v>0.59</v>
      </c>
      <c r="AB11" s="23">
        <v>0.59</v>
      </c>
      <c r="AC11" s="23">
        <v>0.59</v>
      </c>
      <c r="AD11" s="23">
        <v>0.59</v>
      </c>
      <c r="AE11" s="23">
        <v>0.59</v>
      </c>
      <c r="AF11" s="23">
        <v>0.59</v>
      </c>
      <c r="AG11" s="23">
        <v>0.59</v>
      </c>
      <c r="AH11" s="23">
        <v>0.59</v>
      </c>
      <c r="AI11" s="23">
        <v>0.57999999999999996</v>
      </c>
      <c r="AJ11" s="69">
        <v>0.6</v>
      </c>
      <c r="AK11" s="69">
        <v>0.57999999999999996</v>
      </c>
      <c r="AL11" s="69">
        <v>0.57999999999999996</v>
      </c>
      <c r="AM11" s="69">
        <v>0.59</v>
      </c>
      <c r="AN11" s="93">
        <v>0.6</v>
      </c>
      <c r="AO11" s="93">
        <v>0.6</v>
      </c>
      <c r="AP11" s="11">
        <f>IFERROR(AO11/AN11-1,"-")</f>
        <v>0</v>
      </c>
      <c r="AQ11" s="11">
        <f t="shared" si="1"/>
        <v>3.4482758620689724E-2</v>
      </c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"/>
  <sheetViews>
    <sheetView workbookViewId="0"/>
  </sheetViews>
  <sheetFormatPr defaultColWidth="10.54296875" defaultRowHeight="15" x14ac:dyDescent="0.25"/>
  <cols>
    <col min="1" max="1" width="32.54296875" customWidth="1"/>
    <col min="2" max="2" width="26" style="16" customWidth="1"/>
    <col min="3" max="3" width="27.90625" style="3" customWidth="1"/>
  </cols>
  <sheetData>
    <row r="1" spans="1:3" s="17" customFormat="1" ht="15.6" x14ac:dyDescent="0.3">
      <c r="A1" s="19" t="s">
        <v>209</v>
      </c>
      <c r="B1" s="18" t="s">
        <v>104</v>
      </c>
      <c r="C1" s="5" t="s">
        <v>105</v>
      </c>
    </row>
    <row r="2" spans="1:3" x14ac:dyDescent="0.25">
      <c r="A2" t="s">
        <v>0</v>
      </c>
      <c r="B2" s="16">
        <v>2670610</v>
      </c>
      <c r="C2" s="3">
        <f t="shared" ref="C2:C7" si="0">B2/B$7</f>
        <v>0.37099173863697926</v>
      </c>
    </row>
    <row r="3" spans="1:3" x14ac:dyDescent="0.25">
      <c r="A3" t="s">
        <v>1</v>
      </c>
      <c r="B3" s="16">
        <v>1120000</v>
      </c>
      <c r="C3" s="3">
        <f t="shared" si="0"/>
        <v>0.15558645675460542</v>
      </c>
    </row>
    <row r="4" spans="1:3" x14ac:dyDescent="0.25">
      <c r="A4" t="s">
        <v>3</v>
      </c>
      <c r="B4" s="16">
        <v>1365049</v>
      </c>
      <c r="C4" s="3">
        <f t="shared" si="0"/>
        <v>0.18962780107715838</v>
      </c>
    </row>
    <row r="5" spans="1:3" x14ac:dyDescent="0.25">
      <c r="A5" t="s">
        <v>172</v>
      </c>
      <c r="B5" s="16">
        <v>362334</v>
      </c>
      <c r="C5" s="3">
        <f t="shared" si="0"/>
        <v>5.0334163590824287E-2</v>
      </c>
    </row>
    <row r="6" spans="1:3" x14ac:dyDescent="0.25">
      <c r="A6" t="s">
        <v>2</v>
      </c>
      <c r="B6" s="16">
        <v>1680577</v>
      </c>
      <c r="C6" s="3">
        <f t="shared" si="0"/>
        <v>0.23345983994043262</v>
      </c>
    </row>
    <row r="7" spans="1:3" s="17" customFormat="1" ht="15.6" x14ac:dyDescent="0.3">
      <c r="A7" s="17" t="s">
        <v>103</v>
      </c>
      <c r="B7" s="18">
        <v>7198570</v>
      </c>
      <c r="C7" s="5">
        <f t="shared" si="0"/>
        <v>1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186A1D7BCF4342B5772FD2991616E8" ma:contentTypeVersion="15" ma:contentTypeDescription="Utwórz nowy dokument." ma:contentTypeScope="" ma:versionID="ef77d52d25e9f476f8e05b25f7686641">
  <xsd:schema xmlns:xsd="http://www.w3.org/2001/XMLSchema" xmlns:xs="http://www.w3.org/2001/XMLSchema" xmlns:p="http://schemas.microsoft.com/office/2006/metadata/properties" xmlns:ns2="03c3b9bc-2a33-4fc8-b754-120e45f1b8e0" xmlns:ns3="2b2bdf2d-70e4-4018-ba09-be5aba09b919" targetNamespace="http://schemas.microsoft.com/office/2006/metadata/properties" ma:root="true" ma:fieldsID="19479337f135e2d454f0aac0e2eb3eee" ns2:_="" ns3:_="">
    <xsd:import namespace="03c3b9bc-2a33-4fc8-b754-120e45f1b8e0"/>
    <xsd:import namespace="2b2bdf2d-70e4-4018-ba09-be5aba09b9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b9bc-2a33-4fc8-b754-120e45f1b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23a408af-13f4-4f33-b3a0-241d187a92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bdf2d-70e4-4018-ba09-be5aba09b91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150aabb-0199-4881-841d-4d10402e380b}" ma:internalName="TaxCatchAll" ma:showField="CatchAllData" ma:web="2b2bdf2d-70e4-4018-ba09-be5aba09b9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DDE65-9EBC-4F69-A829-3DFC28FF5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3b9bc-2a33-4fc8-b754-120e45f1b8e0"/>
    <ds:schemaRef ds:uri="2b2bdf2d-70e4-4018-ba09-be5aba09b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86642F-D776-4E9A-9581-E76C69DAD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Informacje podstawowe</vt:lpstr>
      <vt:lpstr>R_wyników_Q</vt:lpstr>
      <vt:lpstr>R_wyników_FY</vt:lpstr>
      <vt:lpstr>Bilans</vt:lpstr>
      <vt:lpstr>Cashflow_Q</vt:lpstr>
      <vt:lpstr>Cashflow_FY</vt:lpstr>
      <vt:lpstr>Inwestycje</vt:lpstr>
      <vt:lpstr>HR</vt:lpstr>
      <vt:lpstr>Akcjonariat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Spreadsheet LUG</dc:title>
  <dc:subject>Skonsolidowane wyniki finansowe LUG S.A.</dc:subject>
  <dc:creator>Marta Dobrołowicz</dc:creator>
  <cp:keywords/>
  <dc:description/>
  <cp:lastModifiedBy>Monika Bartoszak</cp:lastModifiedBy>
  <cp:lastPrinted>2022-02-04T15:46:06Z</cp:lastPrinted>
  <dcterms:created xsi:type="dcterms:W3CDTF">2017-05-04T17:59:23Z</dcterms:created>
  <dcterms:modified xsi:type="dcterms:W3CDTF">2024-03-04T09:58:13Z</dcterms:modified>
  <cp:category/>
</cp:coreProperties>
</file>