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Piotr/Desktop/"/>
    </mc:Choice>
  </mc:AlternateContent>
  <xr:revisionPtr revIDLastSave="0" documentId="13_ncr:1_{56AE5CCE-8BCD-F04B-944B-1F3EA1029BF9}" xr6:coauthVersionLast="45" xr6:coauthVersionMax="45" xr10:uidLastSave="{00000000-0000-0000-0000-000000000000}"/>
  <bookViews>
    <workbookView xWindow="0" yWindow="460" windowWidth="28800" windowHeight="16580" tabRatio="1000" activeTab="1" xr2:uid="{00000000-000D-0000-FFFF-FFFF00000000}"/>
  </bookViews>
  <sheets>
    <sheet name="Informacje podstawowe" sheetId="7" r:id="rId1"/>
    <sheet name="R_wyników_Q" sheetId="8" r:id="rId2"/>
    <sheet name="R_wyników_FY" sheetId="9" r:id="rId3"/>
    <sheet name="Bilans" sheetId="10" r:id="rId4"/>
    <sheet name="Cashflow_Q" sheetId="11" r:id="rId5"/>
    <sheet name="Cashflow_FY" sheetId="12" r:id="rId6"/>
    <sheet name="Inwestycje" sheetId="14" r:id="rId7"/>
    <sheet name="HR" sheetId="1" r:id="rId8"/>
    <sheet name="Akcjonariat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8" l="1"/>
  <c r="P5" i="8" l="1"/>
  <c r="Z11" i="1"/>
  <c r="Y11" i="1"/>
  <c r="Z10" i="1"/>
  <c r="Y10" i="1"/>
  <c r="Z8" i="1"/>
  <c r="Y8" i="1"/>
  <c r="Z7" i="1"/>
  <c r="Y7" i="1"/>
  <c r="Z6" i="1"/>
  <c r="Y6" i="1"/>
  <c r="Z5" i="1"/>
  <c r="Y5" i="1"/>
  <c r="Z3" i="1"/>
  <c r="Y3" i="1"/>
  <c r="R6" i="14"/>
  <c r="Q6" i="14"/>
  <c r="R5" i="14"/>
  <c r="Q5" i="14"/>
  <c r="R4" i="14"/>
  <c r="Q4" i="14"/>
  <c r="R3" i="14"/>
  <c r="Q3" i="14"/>
  <c r="R2" i="14"/>
  <c r="Q2" i="14"/>
  <c r="O7" i="14"/>
  <c r="R27" i="11"/>
  <c r="Q27" i="11"/>
  <c r="R26" i="11"/>
  <c r="Q26" i="11"/>
  <c r="Q25" i="11"/>
  <c r="Q23" i="11"/>
  <c r="Q22" i="11"/>
  <c r="Q21" i="11"/>
  <c r="Q19" i="11"/>
  <c r="Q18" i="11"/>
  <c r="Q17" i="11"/>
  <c r="Q16" i="11"/>
  <c r="Q15" i="11"/>
  <c r="Q13" i="11"/>
  <c r="Q12" i="11"/>
  <c r="Q11" i="11"/>
  <c r="Q10" i="11"/>
  <c r="Q9" i="11"/>
  <c r="Q8" i="11"/>
  <c r="Q7" i="11"/>
  <c r="Q6" i="11"/>
  <c r="Q5" i="11"/>
  <c r="Q4" i="11"/>
  <c r="Q3" i="11"/>
  <c r="T29" i="10"/>
  <c r="S29" i="10"/>
  <c r="T28" i="10"/>
  <c r="S28" i="10"/>
  <c r="T27" i="10"/>
  <c r="S27" i="10"/>
  <c r="T26" i="10"/>
  <c r="T25" i="10"/>
  <c r="S25" i="10"/>
  <c r="T24" i="10"/>
  <c r="S24" i="10"/>
  <c r="T23" i="10"/>
  <c r="S23" i="10"/>
  <c r="T22" i="10"/>
  <c r="S22" i="10"/>
  <c r="T21" i="10"/>
  <c r="S21" i="10"/>
  <c r="T20" i="10"/>
  <c r="S20" i="10"/>
  <c r="T19" i="10"/>
  <c r="S19" i="10"/>
  <c r="T18" i="10"/>
  <c r="S18" i="10"/>
  <c r="T17" i="10"/>
  <c r="S17" i="10"/>
  <c r="T16" i="10"/>
  <c r="S16" i="10"/>
  <c r="T14" i="10"/>
  <c r="S14" i="10"/>
  <c r="T13" i="10"/>
  <c r="S13" i="10"/>
  <c r="T12" i="10"/>
  <c r="S12" i="10"/>
  <c r="T11" i="10"/>
  <c r="T10" i="10"/>
  <c r="S10" i="10"/>
  <c r="T9" i="10"/>
  <c r="S9" i="10"/>
  <c r="T8" i="10"/>
  <c r="S8" i="10"/>
  <c r="T7" i="10"/>
  <c r="S7" i="10"/>
  <c r="T6" i="10"/>
  <c r="S6" i="10"/>
  <c r="T5" i="10"/>
  <c r="S5" i="10"/>
  <c r="T4" i="10"/>
  <c r="S4" i="10"/>
  <c r="T3" i="10"/>
  <c r="S3" i="10"/>
  <c r="Q27" i="10"/>
  <c r="Q26" i="10"/>
  <c r="S26" i="10" s="1"/>
  <c r="Q21" i="10"/>
  <c r="Q11" i="10"/>
  <c r="S11" i="10" s="1"/>
  <c r="R29" i="8"/>
  <c r="Q29" i="8"/>
  <c r="Q28" i="8"/>
  <c r="Q26" i="8"/>
  <c r="Q25" i="8"/>
  <c r="Q24" i="8"/>
  <c r="Q23" i="8"/>
  <c r="Q22" i="8"/>
  <c r="R21" i="8"/>
  <c r="Q21" i="8"/>
  <c r="Q19" i="8"/>
  <c r="R17" i="8"/>
  <c r="Q17" i="8"/>
  <c r="Q16" i="8"/>
  <c r="Q14" i="8"/>
  <c r="Q12" i="8"/>
  <c r="Q11" i="8"/>
  <c r="Q9" i="8"/>
  <c r="Q7" i="8"/>
  <c r="R5" i="8"/>
  <c r="Q5" i="8"/>
  <c r="R3" i="8"/>
  <c r="Q3" i="8"/>
  <c r="Q2" i="8"/>
  <c r="O27" i="8"/>
  <c r="O20" i="8"/>
  <c r="O18" i="8"/>
  <c r="O15" i="8"/>
  <c r="O13" i="8"/>
  <c r="O10" i="8"/>
  <c r="O8" i="8"/>
  <c r="O6" i="8"/>
  <c r="O4" i="8"/>
  <c r="P11" i="10" l="1"/>
  <c r="P7" i="14" l="1"/>
  <c r="N7" i="14"/>
  <c r="N23" i="11"/>
  <c r="N27" i="8"/>
  <c r="N20" i="8"/>
  <c r="N17" i="8"/>
  <c r="N15" i="8"/>
  <c r="N13" i="8"/>
  <c r="N10" i="8"/>
  <c r="N8" i="8"/>
  <c r="N6" i="8"/>
  <c r="N4" i="8"/>
  <c r="Q7" i="14" l="1"/>
  <c r="N18" i="8"/>
  <c r="O23" i="10"/>
  <c r="F27" i="9"/>
  <c r="F20" i="9"/>
  <c r="F17" i="9"/>
  <c r="F15" i="9"/>
  <c r="F13" i="9"/>
  <c r="F10" i="9"/>
  <c r="F8" i="9"/>
  <c r="F5" i="9"/>
  <c r="F4" i="9"/>
  <c r="M27" i="8"/>
  <c r="M15" i="8"/>
  <c r="M13" i="8"/>
  <c r="M18" i="8"/>
  <c r="F18" i="9" l="1"/>
  <c r="F6" i="9"/>
  <c r="M6" i="8"/>
  <c r="M4" i="8"/>
  <c r="M8" i="8"/>
  <c r="M20" i="8"/>
  <c r="M10" i="8"/>
  <c r="P27" i="8" l="1"/>
  <c r="P20" i="8"/>
  <c r="P18" i="8"/>
  <c r="P15" i="8"/>
  <c r="P13" i="8"/>
  <c r="P10" i="8"/>
  <c r="P8" i="8"/>
  <c r="P6" i="8"/>
  <c r="P4" i="8"/>
  <c r="Q15" i="8" l="1"/>
  <c r="Q8" i="8"/>
  <c r="Q18" i="8"/>
  <c r="Q10" i="8"/>
  <c r="Q20" i="8"/>
  <c r="Q6" i="8"/>
  <c r="Q4" i="8"/>
  <c r="Q13" i="8"/>
  <c r="Q27" i="8"/>
  <c r="Z6" i="14"/>
  <c r="Z5" i="14"/>
  <c r="Z4" i="14"/>
  <c r="Z3" i="14"/>
  <c r="Z2" i="14"/>
  <c r="M7" i="14" l="1"/>
  <c r="L26" i="8" l="1"/>
  <c r="L23" i="8"/>
  <c r="L24" i="8"/>
  <c r="L22" i="8"/>
  <c r="L19" i="8"/>
  <c r="L16" i="8"/>
  <c r="L14" i="8"/>
  <c r="L12" i="8"/>
  <c r="L11" i="8"/>
  <c r="L9" i="8"/>
  <c r="L7" i="8"/>
  <c r="R22" i="8" l="1"/>
  <c r="R14" i="8"/>
  <c r="R9" i="8"/>
  <c r="R16" i="8"/>
  <c r="R23" i="8"/>
  <c r="R12" i="8"/>
  <c r="R7" i="8"/>
  <c r="R24" i="8"/>
  <c r="R11" i="8"/>
  <c r="R19" i="8"/>
  <c r="R26" i="8"/>
  <c r="L2" i="8"/>
  <c r="R2" i="8" l="1"/>
  <c r="H31" i="12"/>
  <c r="H30" i="12"/>
  <c r="H29" i="12"/>
  <c r="H27" i="12"/>
  <c r="H26" i="12"/>
  <c r="H25" i="12"/>
  <c r="H24" i="12"/>
  <c r="H20" i="12"/>
  <c r="H19" i="12"/>
  <c r="H16" i="12"/>
  <c r="H14" i="12"/>
  <c r="H8" i="12"/>
  <c r="H29" i="9"/>
  <c r="H24" i="9"/>
  <c r="H23" i="9"/>
  <c r="H22" i="9"/>
  <c r="H21" i="9"/>
  <c r="H16" i="9"/>
  <c r="H14" i="9"/>
  <c r="H12" i="9"/>
  <c r="H11" i="9"/>
  <c r="H7" i="9"/>
  <c r="H5" i="9"/>
  <c r="H26" i="9"/>
  <c r="H19" i="9"/>
  <c r="H17" i="9"/>
  <c r="H9" i="9"/>
  <c r="L28" i="8"/>
  <c r="L25" i="8"/>
  <c r="L20" i="8"/>
  <c r="R20" i="8" s="1"/>
  <c r="L15" i="8"/>
  <c r="R15" i="8" s="1"/>
  <c r="L13" i="8"/>
  <c r="R13" i="8" s="1"/>
  <c r="L10" i="8"/>
  <c r="R10" i="8" s="1"/>
  <c r="L6" i="8"/>
  <c r="R6" i="8" s="1"/>
  <c r="R25" i="8" l="1"/>
  <c r="R28" i="8"/>
  <c r="H25" i="9"/>
  <c r="H28" i="9"/>
  <c r="H3" i="9"/>
  <c r="H2" i="9"/>
  <c r="L8" i="8"/>
  <c r="R8" i="8" s="1"/>
  <c r="L4" i="8"/>
  <c r="R4" i="8" s="1"/>
  <c r="L18" i="8"/>
  <c r="R18" i="8" s="1"/>
  <c r="L27" i="8"/>
  <c r="R27" i="8" s="1"/>
  <c r="L13" i="11" l="1"/>
  <c r="R13" i="11" l="1"/>
  <c r="L7" i="11"/>
  <c r="R7" i="11" l="1"/>
  <c r="H7" i="12"/>
  <c r="L25" i="11"/>
  <c r="L23" i="11"/>
  <c r="L22" i="11"/>
  <c r="L21" i="11"/>
  <c r="L19" i="11"/>
  <c r="L18" i="11"/>
  <c r="L17" i="11"/>
  <c r="L16" i="11"/>
  <c r="L15" i="11"/>
  <c r="L12" i="11"/>
  <c r="L11" i="11"/>
  <c r="L10" i="11"/>
  <c r="L9" i="11"/>
  <c r="L8" i="11"/>
  <c r="L6" i="11"/>
  <c r="L5" i="11"/>
  <c r="L4" i="11"/>
  <c r="L3" i="11"/>
  <c r="R4" i="11" l="1"/>
  <c r="R19" i="11"/>
  <c r="R5" i="11"/>
  <c r="R10" i="11"/>
  <c r="R16" i="11"/>
  <c r="R21" i="11"/>
  <c r="R3" i="11"/>
  <c r="R9" i="11"/>
  <c r="R15" i="11"/>
  <c r="R25" i="11"/>
  <c r="R6" i="11"/>
  <c r="R11" i="11"/>
  <c r="R17" i="11"/>
  <c r="R22" i="11"/>
  <c r="R8" i="11"/>
  <c r="R12" i="11"/>
  <c r="R18" i="11"/>
  <c r="R23" i="11"/>
  <c r="H4" i="12"/>
  <c r="H3" i="12"/>
  <c r="H13" i="12"/>
  <c r="H10" i="12"/>
  <c r="H5" i="12"/>
  <c r="H11" i="12"/>
  <c r="H17" i="12"/>
  <c r="H22" i="12"/>
  <c r="H9" i="12"/>
  <c r="H6" i="12"/>
  <c r="H12" i="12"/>
  <c r="H18" i="12"/>
  <c r="H23" i="12"/>
  <c r="K7" i="14" l="1"/>
  <c r="M25" i="10"/>
  <c r="M21" i="10"/>
  <c r="M16" i="10"/>
  <c r="K27" i="8"/>
  <c r="K20" i="8"/>
  <c r="K18" i="8"/>
  <c r="K15" i="8"/>
  <c r="K13" i="8"/>
  <c r="K10" i="8"/>
  <c r="K8" i="8"/>
  <c r="K6" i="8"/>
  <c r="K4" i="8"/>
  <c r="L7" i="14" l="1"/>
  <c r="R7" i="14" s="1"/>
  <c r="J7" i="14"/>
  <c r="F5" i="14"/>
  <c r="T5" i="14" s="1"/>
  <c r="G7" i="14"/>
  <c r="U6" i="14"/>
  <c r="T6" i="14"/>
  <c r="U5" i="14"/>
  <c r="U4" i="14"/>
  <c r="T4" i="14"/>
  <c r="U3" i="14"/>
  <c r="T3" i="14"/>
  <c r="U2" i="14"/>
  <c r="T2" i="14"/>
  <c r="L27" i="10"/>
  <c r="L20" i="10"/>
  <c r="I28" i="10"/>
  <c r="I14" i="10"/>
  <c r="G27" i="8"/>
  <c r="J27" i="8"/>
  <c r="G20" i="8"/>
  <c r="J20" i="8"/>
  <c r="G18" i="8"/>
  <c r="J18" i="8"/>
  <c r="G15" i="8"/>
  <c r="J15" i="8"/>
  <c r="G10" i="8"/>
  <c r="J10" i="8"/>
  <c r="G8" i="8"/>
  <c r="J8" i="8"/>
  <c r="G6" i="8"/>
  <c r="J6" i="8"/>
  <c r="G13" i="8"/>
  <c r="J13" i="8"/>
  <c r="G4" i="8"/>
  <c r="J4" i="8"/>
  <c r="F27" i="8"/>
  <c r="I27" i="8"/>
  <c r="F20" i="8"/>
  <c r="I20" i="8"/>
  <c r="F18" i="8"/>
  <c r="I18" i="8"/>
  <c r="F15" i="8"/>
  <c r="I15" i="8"/>
  <c r="F13" i="8"/>
  <c r="I13" i="8"/>
  <c r="F10" i="8"/>
  <c r="F8" i="8"/>
  <c r="I8" i="8"/>
  <c r="F6" i="8"/>
  <c r="I6" i="8"/>
  <c r="F4" i="8"/>
  <c r="I4" i="8"/>
  <c r="I10" i="8"/>
  <c r="I6" i="14"/>
  <c r="I5" i="14"/>
  <c r="I4" i="14"/>
  <c r="I3" i="14"/>
  <c r="I2" i="14"/>
  <c r="E4" i="9"/>
  <c r="H4" i="9" s="1"/>
  <c r="E27" i="9"/>
  <c r="H27" i="9" s="1"/>
  <c r="E20" i="9"/>
  <c r="H20" i="9" s="1"/>
  <c r="E18" i="9"/>
  <c r="H18" i="9" s="1"/>
  <c r="E15" i="9"/>
  <c r="H15" i="9" s="1"/>
  <c r="E13" i="9"/>
  <c r="H13" i="9" s="1"/>
  <c r="E10" i="9"/>
  <c r="H10" i="9" s="1"/>
  <c r="E8" i="9"/>
  <c r="H8" i="9" s="1"/>
  <c r="E6" i="9"/>
  <c r="H6" i="9" s="1"/>
  <c r="H10" i="8"/>
  <c r="H2" i="14"/>
  <c r="H4" i="14"/>
  <c r="H6" i="14"/>
  <c r="B7" i="14"/>
  <c r="C7" i="14"/>
  <c r="D7" i="14"/>
  <c r="J28" i="10"/>
  <c r="J14" i="10"/>
  <c r="H27" i="8"/>
  <c r="D27" i="8"/>
  <c r="H20" i="8"/>
  <c r="D20" i="8"/>
  <c r="H18" i="8"/>
  <c r="D18" i="8"/>
  <c r="H15" i="8"/>
  <c r="D15" i="8"/>
  <c r="H13" i="8"/>
  <c r="D13" i="8"/>
  <c r="D10" i="8"/>
  <c r="H8" i="8"/>
  <c r="D8" i="8"/>
  <c r="H6" i="8"/>
  <c r="D6" i="8"/>
  <c r="H4" i="8"/>
  <c r="D4" i="8"/>
  <c r="C3" i="13"/>
  <c r="C4" i="13"/>
  <c r="C5" i="13"/>
  <c r="C6" i="13"/>
  <c r="C2" i="13"/>
  <c r="E7" i="14"/>
  <c r="D27" i="9"/>
  <c r="C27" i="9"/>
  <c r="B27" i="9"/>
  <c r="D20" i="9"/>
  <c r="C20" i="9"/>
  <c r="B20" i="9"/>
  <c r="D18" i="9"/>
  <c r="C18" i="9"/>
  <c r="B18" i="9"/>
  <c r="D15" i="9"/>
  <c r="C15" i="9"/>
  <c r="B15" i="9"/>
  <c r="D13" i="9"/>
  <c r="C13" i="9"/>
  <c r="B13" i="9"/>
  <c r="D10" i="9"/>
  <c r="C10" i="9"/>
  <c r="B10" i="9"/>
  <c r="D8" i="9"/>
  <c r="C8" i="9"/>
  <c r="B8" i="9"/>
  <c r="D6" i="9"/>
  <c r="C6" i="9"/>
  <c r="B6" i="9"/>
  <c r="D4" i="9"/>
  <c r="C4" i="9"/>
  <c r="B4" i="9"/>
  <c r="B27" i="8"/>
  <c r="E27" i="8"/>
  <c r="C27" i="8"/>
  <c r="B20" i="8"/>
  <c r="E20" i="8"/>
  <c r="C20" i="8"/>
  <c r="B18" i="8"/>
  <c r="E18" i="8"/>
  <c r="C18" i="8"/>
  <c r="B15" i="8"/>
  <c r="E15" i="8"/>
  <c r="C15" i="8"/>
  <c r="B13" i="8"/>
  <c r="E13" i="8"/>
  <c r="C13" i="8"/>
  <c r="B10" i="8"/>
  <c r="E10" i="8"/>
  <c r="C10" i="8"/>
  <c r="B8" i="8"/>
  <c r="E8" i="8"/>
  <c r="C8" i="8"/>
  <c r="B6" i="8"/>
  <c r="E6" i="8"/>
  <c r="C6" i="8"/>
  <c r="B4" i="8"/>
  <c r="E4" i="8"/>
  <c r="C4" i="8"/>
  <c r="Y4" i="14" l="1"/>
  <c r="Z7" i="14"/>
  <c r="Y2" i="14"/>
  <c r="AB2" i="14" s="1"/>
  <c r="Y3" i="14"/>
  <c r="AB3" i="14" s="1"/>
  <c r="Y5" i="14"/>
  <c r="AB5" i="14" s="1"/>
  <c r="Y6" i="14"/>
  <c r="AB6" i="14" s="1"/>
  <c r="F7" i="14"/>
  <c r="H7" i="14"/>
  <c r="W2" i="14"/>
  <c r="W4" i="14"/>
  <c r="W6" i="14"/>
  <c r="W3" i="14"/>
  <c r="W5" i="14"/>
  <c r="AB4" i="14"/>
  <c r="I7" i="14"/>
  <c r="U7" i="14"/>
  <c r="T7" i="14" l="1"/>
  <c r="W7" i="14" s="1"/>
  <c r="Y7" i="14"/>
  <c r="AB7" i="14" s="1"/>
</calcChain>
</file>

<file path=xl/sharedStrings.xml><?xml version="1.0" encoding="utf-8"?>
<sst xmlns="http://schemas.openxmlformats.org/spreadsheetml/2006/main" count="296" uniqueCount="176">
  <si>
    <t>Ryszard Wtorkowski</t>
  </si>
  <si>
    <t>Iwona Wtorkowska</t>
  </si>
  <si>
    <t>Pozostali akcjonariusze</t>
  </si>
  <si>
    <t>Fundusze zarządzane przez OPERA TFI</t>
  </si>
  <si>
    <t>Liczba pracowników</t>
  </si>
  <si>
    <t>wyższe</t>
  </si>
  <si>
    <t>średnie</t>
  </si>
  <si>
    <t>zawodowe</t>
  </si>
  <si>
    <t>podstawowe</t>
  </si>
  <si>
    <t>kobiety</t>
  </si>
  <si>
    <t>mężczyźni</t>
  </si>
  <si>
    <t>Przychody ze sprzedaży</t>
  </si>
  <si>
    <t>Koszty sprzedanych produktów, towarów i materiałów</t>
  </si>
  <si>
    <t>Zysk brutto na sprzedaży</t>
  </si>
  <si>
    <t>Pozostałe przychody operacyjne</t>
  </si>
  <si>
    <t>Koszty sprzedaży</t>
  </si>
  <si>
    <t>Koszty ogólnego zarządu</t>
  </si>
  <si>
    <t>Zysk na działalności operacyjnej</t>
  </si>
  <si>
    <t>Przychody finansowe</t>
  </si>
  <si>
    <t>Koszty finansowe</t>
  </si>
  <si>
    <t>Zysk przed opodatkowaniem</t>
  </si>
  <si>
    <t>Podatek dochodowy</t>
  </si>
  <si>
    <t>Zysk netto z działalności kontynuowanej</t>
  </si>
  <si>
    <t>Zysk netto należny akcjonariuszom jednostki dominującej</t>
  </si>
  <si>
    <t>Zysk netto na jedną akcję (zł)</t>
  </si>
  <si>
    <t>Pozostałe koszty operacyjne</t>
  </si>
  <si>
    <t>Zysk netto</t>
  </si>
  <si>
    <t>31.03.2016.</t>
  </si>
  <si>
    <t>30.06.2016.</t>
  </si>
  <si>
    <t>30.09.2016.</t>
  </si>
  <si>
    <t>31.12.2016.</t>
  </si>
  <si>
    <t>31.03.2017.</t>
  </si>
  <si>
    <t>Aktywa trwałe</t>
  </si>
  <si>
    <t>Rzeczowe aktywa trwałe</t>
  </si>
  <si>
    <t>Wartości niematerialne</t>
  </si>
  <si>
    <t>Aktywa z tytułu odroczonego podatku dochodowego</t>
  </si>
  <si>
    <t>Należności długoterminowe</t>
  </si>
  <si>
    <t>Aktywa obrotowe</t>
  </si>
  <si>
    <t>Zapasy</t>
  </si>
  <si>
    <t>Należności handlowe</t>
  </si>
  <si>
    <t>Pozostałe należności</t>
  </si>
  <si>
    <t>Rozliczenia międzyokresowe</t>
  </si>
  <si>
    <t>Środki pieniężne i ich ekwiwalenty</t>
  </si>
  <si>
    <t>Aktywa razem</t>
  </si>
  <si>
    <t>Kapitał własny</t>
  </si>
  <si>
    <t>Zobowiązania długoterminowe</t>
  </si>
  <si>
    <t>Zobowiązania krótkoterminowe</t>
  </si>
  <si>
    <t>Pasywa razem</t>
  </si>
  <si>
    <t>Wartość księgowa na akcję (zł)</t>
  </si>
  <si>
    <t>Bilans</t>
  </si>
  <si>
    <t>Działalność operacyjna</t>
  </si>
  <si>
    <t>Korekty razem</t>
  </si>
  <si>
    <t>Amortyzacja</t>
  </si>
  <si>
    <t>Zyski z tytułu różnic kursowych</t>
  </si>
  <si>
    <t>Odsetki i udziały w zyskach (dywidendy)</t>
  </si>
  <si>
    <t>Zmiana stanu rezerw</t>
  </si>
  <si>
    <t>Zmiana stanu zapasów</t>
  </si>
  <si>
    <t>Zmiana stanu należności</t>
  </si>
  <si>
    <t>Zmiana stanu zobowiązań krótkoterminowych, z wyjątkiem pożyczek i kredytów</t>
  </si>
  <si>
    <t>Zmiana stanu rozliczeń międzyokresowych</t>
  </si>
  <si>
    <t>Przepływy pieniężne netto z działalności operacyjnej</t>
  </si>
  <si>
    <t>Działalność inwestycyjna</t>
  </si>
  <si>
    <t>Wpływy</t>
  </si>
  <si>
    <t>Wydatki</t>
  </si>
  <si>
    <t>Nabycie wartości niematerialnych i prawnych oraz rzeczowych aktywów trwałych</t>
  </si>
  <si>
    <t>Przepływy pieniężne netto z działalności inwestycyjnej</t>
  </si>
  <si>
    <t>Działalność finansowa</t>
  </si>
  <si>
    <t>Przepływy pieniężne netto z działalności finansowej</t>
  </si>
  <si>
    <t>Przepływy pieniężne netto razem</t>
  </si>
  <si>
    <t>Środki pieniężne na początku okresu</t>
  </si>
  <si>
    <t>Środki pieniężne na koniec okresu</t>
  </si>
  <si>
    <t>Zbycie wartości niematerialnych i prawnych oraz rzeczowych aktywów trwałych</t>
  </si>
  <si>
    <t>Inwestycje</t>
  </si>
  <si>
    <t>Sprzęt IT, oprogramowanie</t>
  </si>
  <si>
    <t>Samochody i wózki</t>
  </si>
  <si>
    <t>Maszyny i urządzenia specjalistyczne</t>
  </si>
  <si>
    <t>Wartość prac rozwojowych</t>
  </si>
  <si>
    <t>Zmiana y/y</t>
  </si>
  <si>
    <t>Zmiana q/q</t>
  </si>
  <si>
    <t>Inwestycje razem</t>
  </si>
  <si>
    <t>Koszty sprzedaży jako % przychodów</t>
  </si>
  <si>
    <t>Koszty ogólnego zarządu jako % przychodów</t>
  </si>
  <si>
    <t>EBITDA</t>
  </si>
  <si>
    <t>Rentowność brutto na sprzedaży</t>
  </si>
  <si>
    <t>Rentowność EBITDA</t>
  </si>
  <si>
    <t>Rentowność operacyjna</t>
  </si>
  <si>
    <t>Rentowność netto</t>
  </si>
  <si>
    <t>Pasywa</t>
  </si>
  <si>
    <t>Aktywa</t>
  </si>
  <si>
    <t>Długoterminowe kredyty i pożyczki</t>
  </si>
  <si>
    <t>Pozostałe długoterminowe zobowiązania finansowe</t>
  </si>
  <si>
    <t>Długoterminowe rozliczenia międzyokresowe przychodów</t>
  </si>
  <si>
    <t>Krótkoterminowe kredyty i pożyczki</t>
  </si>
  <si>
    <t>Pozostałe krótkoterminowe zobowiązania finansowe</t>
  </si>
  <si>
    <t>Krótkoterminowe zobowiązania handlowe</t>
  </si>
  <si>
    <t>Pozostałe krótkoterminowe zobowiązania</t>
  </si>
  <si>
    <t>2015Q2</t>
  </si>
  <si>
    <t>2015Q3</t>
  </si>
  <si>
    <t>2015Q4</t>
  </si>
  <si>
    <t>Kapitał akcjonariuszy mniejszościowych</t>
  </si>
  <si>
    <t>Wyposażenie</t>
  </si>
  <si>
    <t>2016Q1</t>
  </si>
  <si>
    <t>2016Q2</t>
  </si>
  <si>
    <t>2016Q3</t>
  </si>
  <si>
    <t>2016Q4</t>
  </si>
  <si>
    <t>2017Q1</t>
  </si>
  <si>
    <t>przychody kraj</t>
  </si>
  <si>
    <t>% przychodów z kraju</t>
  </si>
  <si>
    <t>przychody zagranica</t>
  </si>
  <si>
    <t>% przychodów z zagranicy</t>
  </si>
  <si>
    <t>Pozostałe rezerwy krótkoterminowe</t>
  </si>
  <si>
    <t>Zysk z działalności inwestycyjnej</t>
  </si>
  <si>
    <t>Spłaty kredytów i pożyczek</t>
  </si>
  <si>
    <t>Płatność zobowiązań z tytułu umów leasingu finansowego</t>
  </si>
  <si>
    <t>Odsetki</t>
  </si>
  <si>
    <t>Koszty sprzedanych produktów, towarów i materiałów jako % przychodów</t>
  </si>
  <si>
    <t>[mln zł, %, pp]</t>
  </si>
  <si>
    <t>31.12.2014.</t>
  </si>
  <si>
    <t>31.12.2015.</t>
  </si>
  <si>
    <t>[mln zł, %]</t>
  </si>
  <si>
    <t>Środki pieniężne</t>
  </si>
  <si>
    <t>2014Q1</t>
  </si>
  <si>
    <t>2014Q2</t>
  </si>
  <si>
    <t>2014Q3</t>
  </si>
  <si>
    <t>2014Q4</t>
  </si>
  <si>
    <t>2015Q1</t>
  </si>
  <si>
    <t>Struktura zatrudnienia wg wykształcenia</t>
  </si>
  <si>
    <t>Struktura zatrudnienia wg płci</t>
  </si>
  <si>
    <t>[liczba osób, %]</t>
  </si>
  <si>
    <t>Liczba pracowników w grupie kapitałowej</t>
  </si>
  <si>
    <t>Razem</t>
  </si>
  <si>
    <t>Liczba akcji i głosów</t>
  </si>
  <si>
    <t>Udział % w kapitale i w głosach</t>
  </si>
  <si>
    <t>Spis treści</t>
  </si>
  <si>
    <t>Dane na temat zatrudnienia</t>
  </si>
  <si>
    <t>Akcjonariat</t>
  </si>
  <si>
    <t>dane kwartalne</t>
  </si>
  <si>
    <t>dane roczne</t>
  </si>
  <si>
    <t>Rachunek wyników:</t>
  </si>
  <si>
    <t>Rachunek przepływów pieniężnych:</t>
  </si>
  <si>
    <t>Podstawowe informacje</t>
  </si>
  <si>
    <t>Nazwa:</t>
  </si>
  <si>
    <t>LUG S.A.</t>
  </si>
  <si>
    <t>Rynek notowań:</t>
  </si>
  <si>
    <t>Branża:</t>
  </si>
  <si>
    <t>Ticker:</t>
  </si>
  <si>
    <t>NewConnect</t>
  </si>
  <si>
    <t>LUG</t>
  </si>
  <si>
    <t>ISIN:</t>
  </si>
  <si>
    <t>PLLUG0000010</t>
  </si>
  <si>
    <t>Instalacje budowlane i telekomunikacyjne</t>
  </si>
  <si>
    <t>2017Q2</t>
  </si>
  <si>
    <t>2017H1</t>
  </si>
  <si>
    <t>2017Q3</t>
  </si>
  <si>
    <t>30.09.2017</t>
  </si>
  <si>
    <t>30.06.2017</t>
  </si>
  <si>
    <t>31.12.2017.</t>
  </si>
  <si>
    <t>2017Q4</t>
  </si>
  <si>
    <t>2018Q1</t>
  </si>
  <si>
    <t>31.03.2018</t>
  </si>
  <si>
    <t>2018Q2</t>
  </si>
  <si>
    <t>2018H1</t>
  </si>
  <si>
    <t>30.06.2018</t>
  </si>
  <si>
    <t>2018Q3</t>
  </si>
  <si>
    <t>30.09.2018</t>
  </si>
  <si>
    <t>2018Q4</t>
  </si>
  <si>
    <t>2018Q1-4</t>
  </si>
  <si>
    <t>31.12.2018</t>
  </si>
  <si>
    <t>2017Q1-4</t>
  </si>
  <si>
    <t>2019Q1</t>
  </si>
  <si>
    <t>31.03.2019</t>
  </si>
  <si>
    <t>2019Q2</t>
  </si>
  <si>
    <t>30.06.2019</t>
  </si>
  <si>
    <t>2019Q3</t>
  </si>
  <si>
    <t>30.09.2019</t>
  </si>
  <si>
    <t>Stan na dzień: 30.09.2019.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</si>
</sst>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0.0000"/>
  </numFmts>
  <fonts count="19" x14ac:knownFonts="1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sz val="12"/>
      <color theme="3"/>
      <name val="Arial"/>
      <family val="2"/>
      <scheme val="minor"/>
    </font>
    <font>
      <sz val="12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2"/>
      <color rgb="FF0070C0"/>
      <name val="Arial"/>
      <family val="2"/>
      <scheme val="minor"/>
    </font>
    <font>
      <i/>
      <sz val="12"/>
      <color theme="1"/>
      <name val="Arial"/>
      <family val="2"/>
      <charset val="238"/>
      <scheme val="minor"/>
    </font>
    <font>
      <i/>
      <sz val="1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8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2" fontId="0" fillId="0" borderId="0" xfId="0" applyNumberFormat="1" applyFont="1"/>
    <xf numFmtId="165" fontId="8" fillId="0" borderId="0" xfId="27" applyNumberFormat="1" applyFont="1"/>
    <xf numFmtId="165" fontId="0" fillId="0" borderId="0" xfId="27" applyNumberFormat="1" applyFont="1"/>
    <xf numFmtId="2" fontId="7" fillId="0" borderId="0" xfId="0" applyNumberFormat="1" applyFont="1"/>
    <xf numFmtId="165" fontId="7" fillId="0" borderId="0" xfId="27" applyNumberFormat="1" applyFont="1"/>
    <xf numFmtId="2" fontId="9" fillId="0" borderId="0" xfId="0" applyNumberFormat="1" applyFont="1"/>
    <xf numFmtId="2" fontId="7" fillId="2" borderId="0" xfId="0" applyNumberFormat="1" applyFont="1" applyFill="1"/>
    <xf numFmtId="2" fontId="0" fillId="2" borderId="0" xfId="0" applyNumberFormat="1" applyFont="1" applyFill="1"/>
    <xf numFmtId="165" fontId="8" fillId="2" borderId="0" xfId="27" applyNumberFormat="1" applyFont="1" applyFill="1"/>
    <xf numFmtId="2" fontId="0" fillId="0" borderId="0" xfId="0" applyNumberFormat="1"/>
    <xf numFmtId="2" fontId="6" fillId="3" borderId="0" xfId="0" applyNumberFormat="1" applyFont="1" applyFill="1"/>
    <xf numFmtId="165" fontId="6" fillId="3" borderId="0" xfId="27" applyNumberFormat="1" applyFont="1" applyFill="1"/>
    <xf numFmtId="2" fontId="0" fillId="2" borderId="0" xfId="0" applyNumberFormat="1" applyFill="1"/>
    <xf numFmtId="165" fontId="2" fillId="0" borderId="0" xfId="27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4" fillId="0" borderId="0" xfId="211"/>
    <xf numFmtId="0" fontId="0" fillId="0" borderId="0" xfId="0" applyAlignment="1">
      <alignment horizontal="right"/>
    </xf>
    <xf numFmtId="4" fontId="1" fillId="2" borderId="0" xfId="27" applyNumberFormat="1" applyFont="1" applyFill="1"/>
    <xf numFmtId="9" fontId="13" fillId="0" borderId="0" xfId="27" applyFont="1" applyAlignment="1">
      <alignment horizontal="left" vertical="center"/>
    </xf>
    <xf numFmtId="9" fontId="12" fillId="0" borderId="0" xfId="27" applyFont="1"/>
    <xf numFmtId="9" fontId="13" fillId="0" borderId="0" xfId="27" applyFont="1" applyAlignment="1">
      <alignment horizontal="left"/>
    </xf>
    <xf numFmtId="2" fontId="7" fillId="0" borderId="0" xfId="0" applyNumberFormat="1" applyFont="1" applyFill="1"/>
    <xf numFmtId="2" fontId="0" fillId="0" borderId="0" xfId="0" applyNumberFormat="1" applyFont="1" applyFill="1"/>
    <xf numFmtId="165" fontId="8" fillId="0" borderId="0" xfId="27" applyNumberFormat="1" applyFont="1" applyFill="1"/>
    <xf numFmtId="2" fontId="0" fillId="0" borderId="0" xfId="0" applyNumberFormat="1" applyFill="1"/>
    <xf numFmtId="1" fontId="7" fillId="0" borderId="0" xfId="0" applyNumberFormat="1" applyFont="1" applyFill="1"/>
    <xf numFmtId="2" fontId="14" fillId="0" borderId="0" xfId="0" applyNumberFormat="1" applyFont="1"/>
    <xf numFmtId="2" fontId="14" fillId="0" borderId="0" xfId="0" applyNumberFormat="1" applyFont="1" applyFill="1"/>
    <xf numFmtId="4" fontId="7" fillId="2" borderId="0" xfId="27" applyNumberFormat="1" applyFont="1" applyFill="1"/>
    <xf numFmtId="2" fontId="15" fillId="2" borderId="0" xfId="0" applyNumberFormat="1" applyFont="1" applyFill="1"/>
    <xf numFmtId="2" fontId="15" fillId="0" borderId="0" xfId="0" applyNumberFormat="1" applyFont="1" applyFill="1"/>
    <xf numFmtId="2" fontId="0" fillId="0" borderId="0" xfId="0" quotePrefix="1" applyNumberFormat="1" applyFont="1" applyFill="1"/>
    <xf numFmtId="166" fontId="0" fillId="0" borderId="0" xfId="0" applyNumberFormat="1" applyFill="1"/>
    <xf numFmtId="164" fontId="0" fillId="0" borderId="0" xfId="384" applyFont="1" applyFill="1"/>
    <xf numFmtId="2" fontId="16" fillId="0" borderId="0" xfId="0" applyNumberFormat="1" applyFont="1"/>
    <xf numFmtId="0" fontId="0" fillId="0" borderId="0" xfId="27" applyNumberFormat="1" applyFont="1"/>
    <xf numFmtId="2" fontId="14" fillId="3" borderId="0" xfId="0" applyNumberFormat="1" applyFont="1" applyFill="1"/>
    <xf numFmtId="2" fontId="14" fillId="2" borderId="0" xfId="0" applyNumberFormat="1" applyFont="1" applyFill="1"/>
    <xf numFmtId="165" fontId="17" fillId="0" borderId="0" xfId="27" applyNumberFormat="1" applyFont="1" applyFill="1"/>
    <xf numFmtId="165" fontId="17" fillId="2" borderId="0" xfId="27" applyNumberFormat="1" applyFont="1" applyFill="1"/>
    <xf numFmtId="165" fontId="0" fillId="0" borderId="0" xfId="27" applyNumberFormat="1" applyFont="1" applyFill="1"/>
    <xf numFmtId="1" fontId="7" fillId="2" borderId="0" xfId="0" applyNumberFormat="1" applyFont="1" applyFill="1" applyAlignment="1">
      <alignment horizontal="right"/>
    </xf>
    <xf numFmtId="2" fontId="16" fillId="0" borderId="0" xfId="0" applyNumberFormat="1" applyFont="1" applyFill="1"/>
    <xf numFmtId="165" fontId="14" fillId="0" borderId="0" xfId="27" applyNumberFormat="1" applyFont="1" applyFill="1"/>
    <xf numFmtId="165" fontId="15" fillId="0" borderId="0" xfId="27" applyNumberFormat="1" applyFont="1" applyFill="1"/>
    <xf numFmtId="165" fontId="14" fillId="0" borderId="0" xfId="27" applyNumberFormat="1" applyFont="1"/>
    <xf numFmtId="1" fontId="14" fillId="0" borderId="0" xfId="0" applyNumberFormat="1" applyFont="1" applyFill="1" applyAlignment="1">
      <alignment horizontal="right"/>
    </xf>
    <xf numFmtId="2" fontId="0" fillId="0" borderId="0" xfId="27" applyNumberFormat="1" applyFont="1"/>
    <xf numFmtId="2" fontId="6" fillId="3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9" fontId="12" fillId="2" borderId="0" xfId="385" applyFont="1" applyFill="1"/>
    <xf numFmtId="2" fontId="15" fillId="0" borderId="0" xfId="0" applyNumberFormat="1" applyFont="1"/>
    <xf numFmtId="165" fontId="15" fillId="0" borderId="0" xfId="27" applyNumberFormat="1" applyFont="1"/>
    <xf numFmtId="165" fontId="18" fillId="0" borderId="0" xfId="27" applyNumberFormat="1" applyFont="1"/>
    <xf numFmtId="165" fontId="18" fillId="0" borderId="0" xfId="27" applyNumberFormat="1" applyFont="1" applyFill="1"/>
    <xf numFmtId="165" fontId="18" fillId="2" borderId="0" xfId="27" applyNumberFormat="1" applyFont="1" applyFill="1"/>
    <xf numFmtId="165" fontId="18" fillId="0" borderId="0" xfId="27" applyNumberFormat="1" applyFont="1" applyBorder="1"/>
    <xf numFmtId="165" fontId="18" fillId="0" borderId="0" xfId="27" applyNumberFormat="1" applyFont="1" applyFill="1" applyBorder="1"/>
    <xf numFmtId="165" fontId="18" fillId="2" borderId="0" xfId="27" applyNumberFormat="1" applyFont="1" applyFill="1" applyBorder="1"/>
    <xf numFmtId="2" fontId="15" fillId="0" borderId="0" xfId="0" applyNumberFormat="1" applyFont="1" applyBorder="1"/>
    <xf numFmtId="2" fontId="15" fillId="0" borderId="0" xfId="0" applyNumberFormat="1" applyFont="1" applyFill="1" applyBorder="1"/>
    <xf numFmtId="2" fontId="15" fillId="2" borderId="0" xfId="0" applyNumberFormat="1" applyFont="1" applyFill="1" applyBorder="1"/>
    <xf numFmtId="2" fontId="15" fillId="0" borderId="1" xfId="0" applyNumberFormat="1" applyFont="1" applyBorder="1"/>
    <xf numFmtId="2" fontId="15" fillId="0" borderId="1" xfId="0" applyNumberFormat="1" applyFont="1" applyFill="1" applyBorder="1"/>
    <xf numFmtId="2" fontId="15" fillId="2" borderId="1" xfId="0" applyNumberFormat="1" applyFont="1" applyFill="1" applyBorder="1"/>
    <xf numFmtId="165" fontId="15" fillId="0" borderId="1" xfId="27" applyNumberFormat="1" applyFont="1" applyBorder="1"/>
    <xf numFmtId="49" fontId="14" fillId="0" borderId="0" xfId="0" applyNumberFormat="1" applyFont="1" applyFill="1"/>
    <xf numFmtId="49" fontId="14" fillId="2" borderId="0" xfId="0" applyNumberFormat="1" applyFont="1" applyFill="1"/>
  </cellXfs>
  <cellStyles count="387">
    <cellStyle name="Dziesiętny" xfId="384" builtinId="3"/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8" builtinId="8" hidden="1"/>
    <cellStyle name="Hiperłącze" xfId="30" builtinId="8" hidden="1"/>
    <cellStyle name="Hiperłącze" xfId="32" builtinId="8" hidden="1"/>
    <cellStyle name="Hiperłącze" xfId="34" builtinId="8" hidden="1"/>
    <cellStyle name="Hiperłącze" xfId="36" builtinId="8" hidden="1"/>
    <cellStyle name="Hiperłącze" xfId="38" builtinId="8" hidden="1"/>
    <cellStyle name="Hiperłącze" xfId="40" builtinId="8" hidden="1"/>
    <cellStyle name="Hiperłącze" xfId="42" builtinId="8" hidden="1"/>
    <cellStyle name="Hiperłącze" xfId="44" builtinId="8" hidden="1"/>
    <cellStyle name="Hiperłącze" xfId="46" builtinId="8" hidden="1"/>
    <cellStyle name="Hiperłącze" xfId="48" builtinId="8" hidden="1"/>
    <cellStyle name="Hiperłącze" xfId="50" builtinId="8" hidden="1"/>
    <cellStyle name="Hiperłącze" xfId="52" builtinId="8" hidden="1"/>
    <cellStyle name="Hiperłącze" xfId="54" builtinId="8" hidden="1"/>
    <cellStyle name="Hiperłącze" xfId="56" builtinId="8" hidden="1"/>
    <cellStyle name="Hiperłącze" xfId="58" builtinId="8" hidden="1"/>
    <cellStyle name="Hiperłącze" xfId="60" builtinId="8" hidden="1"/>
    <cellStyle name="Hiperłącze" xfId="62" builtinId="8" hidden="1"/>
    <cellStyle name="Hiperłącze" xfId="64" builtinId="8" hidden="1"/>
    <cellStyle name="Hiperłącze" xfId="66" builtinId="8" hidden="1"/>
    <cellStyle name="Hiperłącze" xfId="68" builtinId="8" hidden="1"/>
    <cellStyle name="Hiperłącze" xfId="70" builtinId="8" hidden="1"/>
    <cellStyle name="Hiperłącze" xfId="72" builtinId="8" hidden="1"/>
    <cellStyle name="Hiperłącze" xfId="74" builtinId="8" hidden="1"/>
    <cellStyle name="Hiperłącze" xfId="76" builtinId="8" hidden="1"/>
    <cellStyle name="Hiperłącze" xfId="78" builtinId="8" hidden="1"/>
    <cellStyle name="Hiperłącze" xfId="80" builtinId="8" hidden="1"/>
    <cellStyle name="Hiperłącze" xfId="82" builtinId="8" hidden="1"/>
    <cellStyle name="Hiperłącze" xfId="84" builtinId="8" hidden="1"/>
    <cellStyle name="Hiperłącze" xfId="86" builtinId="8" hidden="1"/>
    <cellStyle name="Hiperłącze" xfId="88" builtinId="8" hidden="1"/>
    <cellStyle name="Hiperłącze" xfId="90" builtinId="8" hidden="1"/>
    <cellStyle name="Hiperłącze" xfId="92" builtinId="8" hidden="1"/>
    <cellStyle name="Hiperłącze" xfId="94" builtinId="8" hidden="1"/>
    <cellStyle name="Hiperłącze" xfId="96" builtinId="8" hidden="1"/>
    <cellStyle name="Hiperłącze" xfId="98" builtinId="8" hidden="1"/>
    <cellStyle name="Hiperłącze" xfId="100" builtinId="8" hidden="1"/>
    <cellStyle name="Hiperłącze" xfId="102" builtinId="8" hidden="1"/>
    <cellStyle name="Hiperłącze" xfId="104" builtinId="8" hidden="1"/>
    <cellStyle name="Hiperłącze" xfId="106" builtinId="8" hidden="1"/>
    <cellStyle name="Hiperłącze" xfId="108" builtinId="8" hidden="1"/>
    <cellStyle name="Hiperłącze" xfId="110" builtinId="8" hidden="1"/>
    <cellStyle name="Hiperłącze" xfId="112" builtinId="8" hidden="1"/>
    <cellStyle name="Hiperłącze" xfId="114" builtinId="8" hidden="1"/>
    <cellStyle name="Hiperłącze" xfId="116" builtinId="8" hidden="1"/>
    <cellStyle name="Hiperłącze" xfId="118" builtinId="8" hidden="1"/>
    <cellStyle name="Hiperłącze" xfId="120" builtinId="8" hidden="1"/>
    <cellStyle name="Hiperłącze" xfId="122" builtinId="8" hidden="1"/>
    <cellStyle name="Hiperłącze" xfId="124" builtinId="8" hidden="1"/>
    <cellStyle name="Hiperłącze" xfId="126" builtinId="8" hidden="1"/>
    <cellStyle name="Hiperłącze" xfId="128" builtinId="8" hidden="1"/>
    <cellStyle name="Hiperłącze" xfId="130" builtinId="8" hidden="1"/>
    <cellStyle name="Hiperłącze" xfId="132" builtinId="8" hidden="1"/>
    <cellStyle name="Hiperłącze" xfId="134" builtinId="8" hidden="1"/>
    <cellStyle name="Hiperłącze" xfId="136" builtinId="8" hidden="1"/>
    <cellStyle name="Hiperłącze" xfId="138" builtinId="8" hidden="1"/>
    <cellStyle name="Hiperłącze" xfId="140" builtinId="8" hidden="1"/>
    <cellStyle name="Hiperłącze" xfId="142" builtinId="8" hidden="1"/>
    <cellStyle name="Hiperłącze" xfId="144" builtinId="8" hidden="1"/>
    <cellStyle name="Hiperłącze" xfId="146" builtinId="8" hidden="1"/>
    <cellStyle name="Hiperłącze" xfId="149" builtinId="8" hidden="1"/>
    <cellStyle name="Hiperłącze" xfId="151" builtinId="8" hidden="1"/>
    <cellStyle name="Hiperłącze" xfId="153" builtinId="8" hidden="1"/>
    <cellStyle name="Hiperłącze" xfId="155" builtinId="8" hidden="1"/>
    <cellStyle name="Hiperłącze" xfId="157" builtinId="8" hidden="1"/>
    <cellStyle name="Hiperłącze" xfId="159" builtinId="8" hidden="1"/>
    <cellStyle name="Hiperłącze" xfId="161" builtinId="8" hidden="1"/>
    <cellStyle name="Hiperłącze" xfId="163" builtinId="8" hidden="1"/>
    <cellStyle name="Hiperłącze" xfId="165" builtinId="8" hidden="1"/>
    <cellStyle name="Hiperłącze" xfId="167" builtinId="8" hidden="1"/>
    <cellStyle name="Hiperłącze" xfId="169" builtinId="8" hidden="1"/>
    <cellStyle name="Hiperłącze" xfId="171" builtinId="8" hidden="1"/>
    <cellStyle name="Hiperłącze" xfId="173" builtinId="8" hidden="1"/>
    <cellStyle name="Hiperłącze" xfId="175" builtinId="8" hidden="1"/>
    <cellStyle name="Hiperłącze" xfId="177" builtinId="8" hidden="1"/>
    <cellStyle name="Hiperłącze" xfId="179" builtinId="8" hidden="1"/>
    <cellStyle name="Hiperłącze" xfId="181" builtinId="8" hidden="1"/>
    <cellStyle name="Hiperłącze" xfId="183" builtinId="8" hidden="1"/>
    <cellStyle name="Hiperłącze" xfId="185" builtinId="8" hidden="1"/>
    <cellStyle name="Hiperłącze" xfId="187" builtinId="8" hidden="1"/>
    <cellStyle name="Hiperłącze" xfId="189" builtinId="8" hidden="1"/>
    <cellStyle name="Hiperłącze" xfId="191" builtinId="8" hidden="1"/>
    <cellStyle name="Hiperłącze" xfId="193" builtinId="8" hidden="1"/>
    <cellStyle name="Hiperłącze" xfId="195" builtinId="8" hidden="1"/>
    <cellStyle name="Hiperłącze" xfId="197" builtinId="8" hidden="1"/>
    <cellStyle name="Hiperłącze" xfId="199" builtinId="8" hidden="1"/>
    <cellStyle name="Hiperłącze" xfId="201" builtinId="8" hidden="1"/>
    <cellStyle name="Hiperłącze" xfId="203" builtinId="8" hidden="1"/>
    <cellStyle name="Hiperłącze" xfId="205" builtinId="8" hidden="1"/>
    <cellStyle name="Hiperłącze" xfId="207" builtinId="8" hidden="1"/>
    <cellStyle name="Hiperłącze" xfId="209" builtinId="8" hidden="1"/>
    <cellStyle name="Hiperłącze" xfId="211" builtinId="8"/>
    <cellStyle name="Normalny" xfId="0" builtinId="0"/>
    <cellStyle name="Normalny 2" xfId="383" xr:uid="{00000000-0005-0000-0000-00006A000000}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9" builtinId="9" hidden="1"/>
    <cellStyle name="Odwiedzone hiperłącze" xfId="31" builtinId="9" hidden="1"/>
    <cellStyle name="Odwiedzone hiperłącze" xfId="33" builtinId="9" hidden="1"/>
    <cellStyle name="Odwiedzone hiperłącze" xfId="35" builtinId="9" hidden="1"/>
    <cellStyle name="Odwiedzone hiperłącze" xfId="37" builtinId="9" hidden="1"/>
    <cellStyle name="Odwiedzone hiperłącze" xfId="39" builtinId="9" hidden="1"/>
    <cellStyle name="Odwiedzone hiperłącze" xfId="41" builtinId="9" hidden="1"/>
    <cellStyle name="Odwiedzone hiperłącze" xfId="43" builtinId="9" hidden="1"/>
    <cellStyle name="Odwiedzone hiperłącze" xfId="45" builtinId="9" hidden="1"/>
    <cellStyle name="Odwiedzone hiperłącze" xfId="47" builtinId="9" hidden="1"/>
    <cellStyle name="Odwiedzone hiperłącze" xfId="49" builtinId="9" hidden="1"/>
    <cellStyle name="Odwiedzone hiperłącze" xfId="51" builtinId="9" hidden="1"/>
    <cellStyle name="Odwiedzone hiperłącze" xfId="53" builtinId="9" hidden="1"/>
    <cellStyle name="Odwiedzone hiperłącze" xfId="55" builtinId="9" hidden="1"/>
    <cellStyle name="Odwiedzone hiperłącze" xfId="57" builtinId="9" hidden="1"/>
    <cellStyle name="Odwiedzone hiperłącze" xfId="59" builtinId="9" hidden="1"/>
    <cellStyle name="Odwiedzone hiperłącze" xfId="61" builtinId="9" hidden="1"/>
    <cellStyle name="Odwiedzone hiperłącze" xfId="63" builtinId="9" hidden="1"/>
    <cellStyle name="Odwiedzone hiperłącze" xfId="65" builtinId="9" hidden="1"/>
    <cellStyle name="Odwiedzone hiperłącze" xfId="67" builtinId="9" hidden="1"/>
    <cellStyle name="Odwiedzone hiperłącze" xfId="69" builtinId="9" hidden="1"/>
    <cellStyle name="Odwiedzone hiperłącze" xfId="71" builtinId="9" hidden="1"/>
    <cellStyle name="Odwiedzone hiperłącze" xfId="73" builtinId="9" hidden="1"/>
    <cellStyle name="Odwiedzone hiperłącze" xfId="75" builtinId="9" hidden="1"/>
    <cellStyle name="Odwiedzone hiperłącze" xfId="77" builtinId="9" hidden="1"/>
    <cellStyle name="Odwiedzone hiperłącze" xfId="79" builtinId="9" hidden="1"/>
    <cellStyle name="Odwiedzone hiperłącze" xfId="81" builtinId="9" hidden="1"/>
    <cellStyle name="Odwiedzone hiperłącze" xfId="83" builtinId="9" hidden="1"/>
    <cellStyle name="Odwiedzone hiperłącze" xfId="85" builtinId="9" hidden="1"/>
    <cellStyle name="Odwiedzone hiperłącze" xfId="87" builtinId="9" hidden="1"/>
    <cellStyle name="Odwiedzone hiperłącze" xfId="89" builtinId="9" hidden="1"/>
    <cellStyle name="Odwiedzone hiperłącze" xfId="91" builtinId="9" hidden="1"/>
    <cellStyle name="Odwiedzone hiperłącze" xfId="93" builtinId="9" hidden="1"/>
    <cellStyle name="Odwiedzone hiperłącze" xfId="95" builtinId="9" hidden="1"/>
    <cellStyle name="Odwiedzone hiperłącze" xfId="97" builtinId="9" hidden="1"/>
    <cellStyle name="Odwiedzone hiperłącze" xfId="99" builtinId="9" hidden="1"/>
    <cellStyle name="Odwiedzone hiperłącze" xfId="101" builtinId="9" hidden="1"/>
    <cellStyle name="Odwiedzone hiperłącze" xfId="103" builtinId="9" hidden="1"/>
    <cellStyle name="Odwiedzone hiperłącze" xfId="105" builtinId="9" hidden="1"/>
    <cellStyle name="Odwiedzone hiperłącze" xfId="107" builtinId="9" hidden="1"/>
    <cellStyle name="Odwiedzone hiperłącze" xfId="109" builtinId="9" hidden="1"/>
    <cellStyle name="Odwiedzone hiperłącze" xfId="111" builtinId="9" hidden="1"/>
    <cellStyle name="Odwiedzone hiperłącze" xfId="113" builtinId="9" hidden="1"/>
    <cellStyle name="Odwiedzone hiperłącze" xfId="115" builtinId="9" hidden="1"/>
    <cellStyle name="Odwiedzone hiperłącze" xfId="117" builtinId="9" hidden="1"/>
    <cellStyle name="Odwiedzone hiperłącze" xfId="119" builtinId="9" hidden="1"/>
    <cellStyle name="Odwiedzone hiperłącze" xfId="121" builtinId="9" hidden="1"/>
    <cellStyle name="Odwiedzone hiperłącze" xfId="123" builtinId="9" hidden="1"/>
    <cellStyle name="Odwiedzone hiperłącze" xfId="125" builtinId="9" hidden="1"/>
    <cellStyle name="Odwiedzone hiperłącze" xfId="127" builtinId="9" hidden="1"/>
    <cellStyle name="Odwiedzone hiperłącze" xfId="129" builtinId="9" hidden="1"/>
    <cellStyle name="Odwiedzone hiperłącze" xfId="131" builtinId="9" hidden="1"/>
    <cellStyle name="Odwiedzone hiperłącze" xfId="133" builtinId="9" hidden="1"/>
    <cellStyle name="Odwiedzone hiperłącze" xfId="135" builtinId="9" hidden="1"/>
    <cellStyle name="Odwiedzone hiperłącze" xfId="137" builtinId="9" hidden="1"/>
    <cellStyle name="Odwiedzone hiperłącze" xfId="139" builtinId="9" hidden="1"/>
    <cellStyle name="Odwiedzone hiperłącze" xfId="141" builtinId="9" hidden="1"/>
    <cellStyle name="Odwiedzone hiperłącze" xfId="143" builtinId="9" hidden="1"/>
    <cellStyle name="Odwiedzone hiperłącze" xfId="145" builtinId="9" hidden="1"/>
    <cellStyle name="Odwiedzone hiperłącze" xfId="147" builtinId="9" hidden="1"/>
    <cellStyle name="Odwiedzone hiperłącze" xfId="150" builtinId="9" hidden="1"/>
    <cellStyle name="Odwiedzone hiperłącze" xfId="152" builtinId="9" hidden="1"/>
    <cellStyle name="Odwiedzone hiperłącze" xfId="154" builtinId="9" hidden="1"/>
    <cellStyle name="Odwiedzone hiperłącze" xfId="156" builtinId="9" hidden="1"/>
    <cellStyle name="Odwiedzone hiperłącze" xfId="158" builtinId="9" hidden="1"/>
    <cellStyle name="Odwiedzone hiperłącze" xfId="160" builtinId="9" hidden="1"/>
    <cellStyle name="Odwiedzone hiperłącze" xfId="162" builtinId="9" hidden="1"/>
    <cellStyle name="Odwiedzone hiperłącze" xfId="164" builtinId="9" hidden="1"/>
    <cellStyle name="Odwiedzone hiperłącze" xfId="166" builtinId="9" hidden="1"/>
    <cellStyle name="Odwiedzone hiperłącze" xfId="168" builtinId="9" hidden="1"/>
    <cellStyle name="Odwiedzone hiperłącze" xfId="170" builtinId="9" hidden="1"/>
    <cellStyle name="Odwiedzone hiperłącze" xfId="172" builtinId="9" hidden="1"/>
    <cellStyle name="Odwiedzone hiperłącze" xfId="174" builtinId="9" hidden="1"/>
    <cellStyle name="Odwiedzone hiperłącze" xfId="176" builtinId="9" hidden="1"/>
    <cellStyle name="Odwiedzone hiperłącze" xfId="178" builtinId="9" hidden="1"/>
    <cellStyle name="Odwiedzone hiperłącze" xfId="180" builtinId="9" hidden="1"/>
    <cellStyle name="Odwiedzone hiperłącze" xfId="182" builtinId="9" hidden="1"/>
    <cellStyle name="Odwiedzone hiperłącze" xfId="184" builtinId="9" hidden="1"/>
    <cellStyle name="Odwiedzone hiperłącze" xfId="186" builtinId="9" hidden="1"/>
    <cellStyle name="Odwiedzone hiperłącze" xfId="188" builtinId="9" hidden="1"/>
    <cellStyle name="Odwiedzone hiperłącze" xfId="190" builtinId="9" hidden="1"/>
    <cellStyle name="Odwiedzone hiperłącze" xfId="192" builtinId="9" hidden="1"/>
    <cellStyle name="Odwiedzone hiperłącze" xfId="194" builtinId="9" hidden="1"/>
    <cellStyle name="Odwiedzone hiperłącze" xfId="196" builtinId="9" hidden="1"/>
    <cellStyle name="Odwiedzone hiperłącze" xfId="198" builtinId="9" hidden="1"/>
    <cellStyle name="Odwiedzone hiperłącze" xfId="200" builtinId="9" hidden="1"/>
    <cellStyle name="Odwiedzone hiperłącze" xfId="202" builtinId="9" hidden="1"/>
    <cellStyle name="Odwiedzone hiperłącze" xfId="204" builtinId="9" hidden="1"/>
    <cellStyle name="Odwiedzone hiperłącze" xfId="206" builtinId="9" hidden="1"/>
    <cellStyle name="Odwiedzone hiperłącze" xfId="208" builtinId="9" hidden="1"/>
    <cellStyle name="Odwiedzone hiperłącze" xfId="210" builtinId="9" hidden="1"/>
    <cellStyle name="Odwiedzone hiperłącze" xfId="212" builtinId="9" hidden="1"/>
    <cellStyle name="Odwiedzone hiperłącze" xfId="213" builtinId="9" hidden="1"/>
    <cellStyle name="Odwiedzone hiperłącze" xfId="214" builtinId="9" hidden="1"/>
    <cellStyle name="Odwiedzone hiperłącze" xfId="215" builtinId="9" hidden="1"/>
    <cellStyle name="Odwiedzone hiperłącze" xfId="216" builtinId="9" hidden="1"/>
    <cellStyle name="Odwiedzone hiperłącze" xfId="217" builtinId="9" hidden="1"/>
    <cellStyle name="Odwiedzone hiperłącze" xfId="218" builtinId="9" hidden="1"/>
    <cellStyle name="Odwiedzone hiperłącze" xfId="219" builtinId="9" hidden="1"/>
    <cellStyle name="Odwiedzone hiperłącze" xfId="220" builtinId="9" hidden="1"/>
    <cellStyle name="Odwiedzone hiperłącze" xfId="221" builtinId="9" hidden="1"/>
    <cellStyle name="Odwiedzone hiperłącze" xfId="222" builtinId="9" hidden="1"/>
    <cellStyle name="Odwiedzone hiperłącze" xfId="223" builtinId="9" hidden="1"/>
    <cellStyle name="Odwiedzone hiperłącze" xfId="224" builtinId="9" hidden="1"/>
    <cellStyle name="Odwiedzone hiperłącze" xfId="225" builtinId="9" hidden="1"/>
    <cellStyle name="Odwiedzone hiperłącze" xfId="226" builtinId="9" hidden="1"/>
    <cellStyle name="Odwiedzone hiperłącze" xfId="227" builtinId="9" hidden="1"/>
    <cellStyle name="Odwiedzone hiperłącze" xfId="228" builtinId="9" hidden="1"/>
    <cellStyle name="Odwiedzone hiperłącze" xfId="229" builtinId="9" hidden="1"/>
    <cellStyle name="Odwiedzone hiperłącze" xfId="230" builtinId="9" hidden="1"/>
    <cellStyle name="Odwiedzone hiperłącze" xfId="231" builtinId="9" hidden="1"/>
    <cellStyle name="Odwiedzone hiperłącze" xfId="232" builtinId="9" hidden="1"/>
    <cellStyle name="Odwiedzone hiperłącze" xfId="233" builtinId="9" hidden="1"/>
    <cellStyle name="Odwiedzone hiperłącze" xfId="234" builtinId="9" hidden="1"/>
    <cellStyle name="Odwiedzone hiperłącze" xfId="235" builtinId="9" hidden="1"/>
    <cellStyle name="Odwiedzone hiperłącze" xfId="236" builtinId="9" hidden="1"/>
    <cellStyle name="Odwiedzone hiperłącze" xfId="237" builtinId="9" hidden="1"/>
    <cellStyle name="Odwiedzone hiperłącze" xfId="238" builtinId="9" hidden="1"/>
    <cellStyle name="Odwiedzone hiperłącze" xfId="239" builtinId="9" hidden="1"/>
    <cellStyle name="Odwiedzone hiperłącze" xfId="240" builtinId="9" hidden="1"/>
    <cellStyle name="Odwiedzone hiperłącze" xfId="241" builtinId="9" hidden="1"/>
    <cellStyle name="Odwiedzone hiperłącze" xfId="242" builtinId="9" hidden="1"/>
    <cellStyle name="Odwiedzone hiperłącze" xfId="243" builtinId="9" hidden="1"/>
    <cellStyle name="Odwiedzone hiperłącze" xfId="244" builtinId="9" hidden="1"/>
    <cellStyle name="Odwiedzone hiperłącze" xfId="245" builtinId="9" hidden="1"/>
    <cellStyle name="Odwiedzone hiperłącze" xfId="246" builtinId="9" hidden="1"/>
    <cellStyle name="Odwiedzone hiperłącze" xfId="247" builtinId="9" hidden="1"/>
    <cellStyle name="Odwiedzone hiperłącze" xfId="248" builtinId="9" hidden="1"/>
    <cellStyle name="Odwiedzone hiperłącze" xfId="249" builtinId="9" hidden="1"/>
    <cellStyle name="Odwiedzone hiperłącze" xfId="250" builtinId="9" hidden="1"/>
    <cellStyle name="Odwiedzone hiperłącze" xfId="251" builtinId="9" hidden="1"/>
    <cellStyle name="Odwiedzone hiperłącze" xfId="252" builtinId="9" hidden="1"/>
    <cellStyle name="Odwiedzone hiperłącze" xfId="253" builtinId="9" hidden="1"/>
    <cellStyle name="Odwiedzone hiperłącze" xfId="254" builtinId="9" hidden="1"/>
    <cellStyle name="Odwiedzone hiperłącze" xfId="255" builtinId="9" hidden="1"/>
    <cellStyle name="Odwiedzone hiperłącze" xfId="256" builtinId="9" hidden="1"/>
    <cellStyle name="Odwiedzone hiperłącze" xfId="257" builtinId="9" hidden="1"/>
    <cellStyle name="Odwiedzone hiperłącze" xfId="258" builtinId="9" hidden="1"/>
    <cellStyle name="Odwiedzone hiperłącze" xfId="259" builtinId="9" hidden="1"/>
    <cellStyle name="Odwiedzone hiperłącze" xfId="260" builtinId="9" hidden="1"/>
    <cellStyle name="Odwiedzone hiperłącze" xfId="261" builtinId="9" hidden="1"/>
    <cellStyle name="Odwiedzone hiperłącze" xfId="262" builtinId="9" hidden="1"/>
    <cellStyle name="Odwiedzone hiperłącze" xfId="263" builtinId="9" hidden="1"/>
    <cellStyle name="Odwiedzone hiperłącze" xfId="264" builtinId="9" hidden="1"/>
    <cellStyle name="Odwiedzone hiperłącze" xfId="265" builtinId="9" hidden="1"/>
    <cellStyle name="Odwiedzone hiperłącze" xfId="266" builtinId="9" hidden="1"/>
    <cellStyle name="Odwiedzone hiperłącze" xfId="267" builtinId="9" hidden="1"/>
    <cellStyle name="Odwiedzone hiperłącze" xfId="268" builtinId="9" hidden="1"/>
    <cellStyle name="Odwiedzone hiperłącze" xfId="269" builtinId="9" hidden="1"/>
    <cellStyle name="Odwiedzone hiperłącze" xfId="270" builtinId="9" hidden="1"/>
    <cellStyle name="Odwiedzone hiperłącze" xfId="271" builtinId="9" hidden="1"/>
    <cellStyle name="Odwiedzone hiperłącze" xfId="272" builtinId="9" hidden="1"/>
    <cellStyle name="Odwiedzone hiperłącze" xfId="273" builtinId="9" hidden="1"/>
    <cellStyle name="Odwiedzone hiperłącze" xfId="274" builtinId="9" hidden="1"/>
    <cellStyle name="Odwiedzone hiperłącze" xfId="275" builtinId="9" hidden="1"/>
    <cellStyle name="Odwiedzone hiperłącze" xfId="276" builtinId="9" hidden="1"/>
    <cellStyle name="Odwiedzone hiperłącze" xfId="277" builtinId="9" hidden="1"/>
    <cellStyle name="Odwiedzone hiperłącze" xfId="278" builtinId="9" hidden="1"/>
    <cellStyle name="Odwiedzone hiperłącze" xfId="279" builtinId="9" hidden="1"/>
    <cellStyle name="Odwiedzone hiperłącze" xfId="280" builtinId="9" hidden="1"/>
    <cellStyle name="Odwiedzone hiperłącze" xfId="281" builtinId="9" hidden="1"/>
    <cellStyle name="Odwiedzone hiperłącze" xfId="282" builtinId="9" hidden="1"/>
    <cellStyle name="Odwiedzone hiperłącze" xfId="283" builtinId="9" hidden="1"/>
    <cellStyle name="Odwiedzone hiperłącze" xfId="284" builtinId="9" hidden="1"/>
    <cellStyle name="Odwiedzone hiperłącze" xfId="285" builtinId="9" hidden="1"/>
    <cellStyle name="Odwiedzone hiperłącze" xfId="286" builtinId="9" hidden="1"/>
    <cellStyle name="Odwiedzone hiperłącze" xfId="287" builtinId="9" hidden="1"/>
    <cellStyle name="Odwiedzone hiperłącze" xfId="288" builtinId="9" hidden="1"/>
    <cellStyle name="Odwiedzone hiperłącze" xfId="289" builtinId="9" hidden="1"/>
    <cellStyle name="Odwiedzone hiperłącze" xfId="290" builtinId="9" hidden="1"/>
    <cellStyle name="Odwiedzone hiperłącze" xfId="291" builtinId="9" hidden="1"/>
    <cellStyle name="Odwiedzone hiperłącze" xfId="292" builtinId="9" hidden="1"/>
    <cellStyle name="Odwiedzone hiperłącze" xfId="293" builtinId="9" hidden="1"/>
    <cellStyle name="Odwiedzone hiperłącze" xfId="294" builtinId="9" hidden="1"/>
    <cellStyle name="Odwiedzone hiperłącze" xfId="295" builtinId="9" hidden="1"/>
    <cellStyle name="Odwiedzone hiperłącze" xfId="296" builtinId="9" hidden="1"/>
    <cellStyle name="Odwiedzone hiperłącze" xfId="297" builtinId="9" hidden="1"/>
    <cellStyle name="Odwiedzone hiperłącze" xfId="298" builtinId="9" hidden="1"/>
    <cellStyle name="Odwiedzone hiperłącze" xfId="299" builtinId="9" hidden="1"/>
    <cellStyle name="Odwiedzone hiperłącze" xfId="300" builtinId="9" hidden="1"/>
    <cellStyle name="Odwiedzone hiperłącze" xfId="301" builtinId="9" hidden="1"/>
    <cellStyle name="Odwiedzone hiperłącze" xfId="302" builtinId="9" hidden="1"/>
    <cellStyle name="Odwiedzone hiperłącze" xfId="303" builtinId="9" hidden="1"/>
    <cellStyle name="Odwiedzone hiperłącze" xfId="304" builtinId="9" hidden="1"/>
    <cellStyle name="Odwiedzone hiperłącze" xfId="305" builtinId="9" hidden="1"/>
    <cellStyle name="Odwiedzone hiperłącze" xfId="306" builtinId="9" hidden="1"/>
    <cellStyle name="Odwiedzone hiperłącze" xfId="307" builtinId="9" hidden="1"/>
    <cellStyle name="Odwiedzone hiperłącze" xfId="308" builtinId="9" hidden="1"/>
    <cellStyle name="Odwiedzone hiperłącze" xfId="309" builtinId="9" hidden="1"/>
    <cellStyle name="Odwiedzone hiperłącze" xfId="310" builtinId="9" hidden="1"/>
    <cellStyle name="Odwiedzone hiperłącze" xfId="311" builtinId="9" hidden="1"/>
    <cellStyle name="Odwiedzone hiperłącze" xfId="312" builtinId="9" hidden="1"/>
    <cellStyle name="Odwiedzone hiperłącze" xfId="313" builtinId="9" hidden="1"/>
    <cellStyle name="Odwiedzone hiperłącze" xfId="314" builtinId="9" hidden="1"/>
    <cellStyle name="Odwiedzone hiperłącze" xfId="315" builtinId="9" hidden="1"/>
    <cellStyle name="Odwiedzone hiperłącze" xfId="316" builtinId="9" hidden="1"/>
    <cellStyle name="Odwiedzone hiperłącze" xfId="317" builtinId="9" hidden="1"/>
    <cellStyle name="Odwiedzone hiperłącze" xfId="318" builtinId="9" hidden="1"/>
    <cellStyle name="Odwiedzone hiperłącze" xfId="319" builtinId="9" hidden="1"/>
    <cellStyle name="Odwiedzone hiperłącze" xfId="320" builtinId="9" hidden="1"/>
    <cellStyle name="Odwiedzone hiperłącze" xfId="321" builtinId="9" hidden="1"/>
    <cellStyle name="Odwiedzone hiperłącze" xfId="322" builtinId="9" hidden="1"/>
    <cellStyle name="Odwiedzone hiperłącze" xfId="323" builtinId="9" hidden="1"/>
    <cellStyle name="Odwiedzone hiperłącze" xfId="324" builtinId="9" hidden="1"/>
    <cellStyle name="Odwiedzone hiperłącze" xfId="325" builtinId="9" hidden="1"/>
    <cellStyle name="Odwiedzone hiperłącze" xfId="326" builtinId="9" hidden="1"/>
    <cellStyle name="Odwiedzone hiperłącze" xfId="327" builtinId="9" hidden="1"/>
    <cellStyle name="Odwiedzone hiperłącze" xfId="328" builtinId="9" hidden="1"/>
    <cellStyle name="Odwiedzone hiperłącze" xfId="329" builtinId="9" hidden="1"/>
    <cellStyle name="Odwiedzone hiperłącze" xfId="330" builtinId="9" hidden="1"/>
    <cellStyle name="Odwiedzone hiperłącze" xfId="331" builtinId="9" hidden="1"/>
    <cellStyle name="Odwiedzone hiperłącze" xfId="332" builtinId="9" hidden="1"/>
    <cellStyle name="Odwiedzone hiperłącze" xfId="333" builtinId="9" hidden="1"/>
    <cellStyle name="Odwiedzone hiperłącze" xfId="334" builtinId="9" hidden="1"/>
    <cellStyle name="Odwiedzone hiperłącze" xfId="335" builtinId="9" hidden="1"/>
    <cellStyle name="Odwiedzone hiperłącze" xfId="336" builtinId="9" hidden="1"/>
    <cellStyle name="Odwiedzone hiperłącze" xfId="337" builtinId="9" hidden="1"/>
    <cellStyle name="Odwiedzone hiperłącze" xfId="338" builtinId="9" hidden="1"/>
    <cellStyle name="Odwiedzone hiperłącze" xfId="339" builtinId="9" hidden="1"/>
    <cellStyle name="Odwiedzone hiperłącze" xfId="340" builtinId="9" hidden="1"/>
    <cellStyle name="Odwiedzone hiperłącze" xfId="341" builtinId="9" hidden="1"/>
    <cellStyle name="Odwiedzone hiperłącze" xfId="342" builtinId="9" hidden="1"/>
    <cellStyle name="Odwiedzone hiperłącze" xfId="343" builtinId="9" hidden="1"/>
    <cellStyle name="Odwiedzone hiperłącze" xfId="344" builtinId="9" hidden="1"/>
    <cellStyle name="Odwiedzone hiperłącze" xfId="345" builtinId="9" hidden="1"/>
    <cellStyle name="Odwiedzone hiperłącze" xfId="346" builtinId="9" hidden="1"/>
    <cellStyle name="Odwiedzone hiperłącze" xfId="347" builtinId="9" hidden="1"/>
    <cellStyle name="Odwiedzone hiperłącze" xfId="348" builtinId="9" hidden="1"/>
    <cellStyle name="Odwiedzone hiperłącze" xfId="349" builtinId="9" hidden="1"/>
    <cellStyle name="Odwiedzone hiperłącze" xfId="350" builtinId="9" hidden="1"/>
    <cellStyle name="Odwiedzone hiperłącze" xfId="351" builtinId="9" hidden="1"/>
    <cellStyle name="Odwiedzone hiperłącze" xfId="352" builtinId="9" hidden="1"/>
    <cellStyle name="Odwiedzone hiperłącze" xfId="353" builtinId="9" hidden="1"/>
    <cellStyle name="Odwiedzone hiperłącze" xfId="354" builtinId="9" hidden="1"/>
    <cellStyle name="Odwiedzone hiperłącze" xfId="355" builtinId="9" hidden="1"/>
    <cellStyle name="Odwiedzone hiperłącze" xfId="356" builtinId="9" hidden="1"/>
    <cellStyle name="Odwiedzone hiperłącze" xfId="357" builtinId="9" hidden="1"/>
    <cellStyle name="Odwiedzone hiperłącze" xfId="358" builtinId="9" hidden="1"/>
    <cellStyle name="Odwiedzone hiperłącze" xfId="359" builtinId="9" hidden="1"/>
    <cellStyle name="Odwiedzone hiperłącze" xfId="360" builtinId="9" hidden="1"/>
    <cellStyle name="Odwiedzone hiperłącze" xfId="361" builtinId="9" hidden="1"/>
    <cellStyle name="Odwiedzone hiperłącze" xfId="362" builtinId="9" hidden="1"/>
    <cellStyle name="Odwiedzone hiperłącze" xfId="363" builtinId="9" hidden="1"/>
    <cellStyle name="Odwiedzone hiperłącze" xfId="364" builtinId="9" hidden="1"/>
    <cellStyle name="Odwiedzone hiperłącze" xfId="365" builtinId="9" hidden="1"/>
    <cellStyle name="Odwiedzone hiperłącze" xfId="366" builtinId="9" hidden="1"/>
    <cellStyle name="Odwiedzone hiperłącze" xfId="367" builtinId="9" hidden="1"/>
    <cellStyle name="Odwiedzone hiperłącze" xfId="368" builtinId="9" hidden="1"/>
    <cellStyle name="Odwiedzone hiperłącze" xfId="369" builtinId="9" hidden="1"/>
    <cellStyle name="Odwiedzone hiperłącze" xfId="370" builtinId="9" hidden="1"/>
    <cellStyle name="Odwiedzone hiperłącze" xfId="371" builtinId="9" hidden="1"/>
    <cellStyle name="Odwiedzone hiperłącze" xfId="372" builtinId="9" hidden="1"/>
    <cellStyle name="Odwiedzone hiperłącze" xfId="373" builtinId="9" hidden="1"/>
    <cellStyle name="Odwiedzone hiperłącze" xfId="374" builtinId="9" hidden="1"/>
    <cellStyle name="Odwiedzone hiperłącze" xfId="375" builtinId="9" hidden="1"/>
    <cellStyle name="Odwiedzone hiperłącze" xfId="376" builtinId="9" hidden="1"/>
    <cellStyle name="Odwiedzone hiperłącze" xfId="377" builtinId="9" hidden="1"/>
    <cellStyle name="Odwiedzone hiperłącze" xfId="378" builtinId="9" hidden="1"/>
    <cellStyle name="Odwiedzone hiperłącze" xfId="379" builtinId="9" hidden="1"/>
    <cellStyle name="Odwiedzone hiperłącze" xfId="380" builtinId="9" hidden="1"/>
    <cellStyle name="Odwiedzone hiperłącze" xfId="381" builtinId="9" hidden="1"/>
    <cellStyle name="Odwiedzone hiperłącze" xfId="382" builtinId="9" hidden="1"/>
    <cellStyle name="Procentowy" xfId="27" builtinId="5"/>
    <cellStyle name="Procentowy 2" xfId="148" xr:uid="{00000000-0005-0000-0000-00007F010000}"/>
    <cellStyle name="Procentowy 2 2" xfId="386" xr:uid="{4AD48225-0BC8-46F3-AD73-4FBCD955BF07}"/>
    <cellStyle name="Procentowy 3" xfId="385" xr:uid="{11283CFB-DAC0-4244-8EBD-D1B985EF46E3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2280803</xdr:colOff>
      <xdr:row>6</xdr:row>
      <xdr:rowOff>139700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98303" cy="13589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127000</xdr:rowOff>
    </xdr:from>
    <xdr:to>
      <xdr:col>8</xdr:col>
      <xdr:colOff>622300</xdr:colOff>
      <xdr:row>5</xdr:row>
      <xdr:rowOff>27000</xdr:rowOff>
    </xdr:to>
    <xdr:sp macro="" textlink="">
      <xdr:nvSpPr>
        <xdr:cNvPr id="3" name="Pole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81300" y="3302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4000" b="1">
              <a:solidFill>
                <a:schemeClr val="bg1"/>
              </a:solidFill>
            </a:rPr>
            <a:t>Spreadsheet </a:t>
          </a:r>
        </a:p>
      </xdr:txBody>
    </xdr:sp>
    <xdr:clientData/>
  </xdr:twoCellAnchor>
  <xdr:twoCellAnchor>
    <xdr:from>
      <xdr:col>2</xdr:col>
      <xdr:colOff>0</xdr:colOff>
      <xdr:row>5</xdr:row>
      <xdr:rowOff>177800</xdr:rowOff>
    </xdr:from>
    <xdr:to>
      <xdr:col>8</xdr:col>
      <xdr:colOff>622300</xdr:colOff>
      <xdr:row>9</xdr:row>
      <xdr:rowOff>77800</xdr:rowOff>
    </xdr:to>
    <xdr:sp macro="" textlink="">
      <xdr:nvSpPr>
        <xdr:cNvPr id="4" name="Pole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81300" y="11938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2800">
              <a:solidFill>
                <a:schemeClr val="bg1"/>
              </a:solidFill>
            </a:rPr>
            <a:t>Stan na dzień: 30.09.2019.</a:t>
          </a:r>
        </a:p>
      </xdr:txBody>
    </xdr:sp>
    <xdr:clientData/>
  </xdr:twoCellAnchor>
  <xdr:twoCellAnchor>
    <xdr:from>
      <xdr:col>1</xdr:col>
      <xdr:colOff>25400</xdr:colOff>
      <xdr:row>10</xdr:row>
      <xdr:rowOff>50800</xdr:rowOff>
    </xdr:from>
    <xdr:to>
      <xdr:col>8</xdr:col>
      <xdr:colOff>622300</xdr:colOff>
      <xdr:row>15</xdr:row>
      <xdr:rowOff>154000</xdr:rowOff>
    </xdr:to>
    <xdr:sp macro="" textlink="">
      <xdr:nvSpPr>
        <xdr:cNvPr id="5" name="Pole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5600" y="2082800"/>
          <a:ext cx="8280400" cy="71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pl-PL" sz="1050">
              <a:solidFill>
                <a:schemeClr val="tx2"/>
              </a:solidFill>
            </a:rPr>
            <a:t>Niniejszy</a:t>
          </a:r>
          <a:r>
            <a:rPr lang="pl-PL" sz="1050" baseline="0">
              <a:solidFill>
                <a:schemeClr val="tx2"/>
              </a:solidFill>
            </a:rPr>
            <a:t> dokument ma charakter pomocniczy. Zespół relacji inwestorskich LUG S.A. dokłada staranności, aby zawarte w nim dane były dokładne, jednak nie może zagwarantować ich poprawności. Dane w factsheecie są wprowadzone bezpośrednio z opublikowanych raportów okresowych za dany okres, dlatego mogą występować różnice np. pomiędzy sumą danych za cztery kwartały danego roku oraz danymi pochodzącymi z raportu rocznego za ten rok. Podstawowym i głównym źródełem danych na temat LUG S.A., Grupy Kapitałowej LUG S.A., wyników finansowych i danych operacyjnych są dokumenty informacyjne, prospekty emisyjne, raporty okresowe oraz raporty bieżące podawane przez spółkę do publicznej wiadomości za pośrednictwem systemów ESPI i EBI oraz strony internetowej spółki.</a:t>
          </a:r>
          <a:endParaRPr lang="pl-PL" sz="105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LUG">
      <a:dk1>
        <a:srgbClr val="000000"/>
      </a:dk1>
      <a:lt1>
        <a:srgbClr val="FFFFFF"/>
      </a:lt1>
      <a:dk2>
        <a:srgbClr val="676767"/>
      </a:dk2>
      <a:lt2>
        <a:srgbClr val="FFFFFF"/>
      </a:lt2>
      <a:accent1>
        <a:srgbClr val="DA241D"/>
      </a:accent1>
      <a:accent2>
        <a:srgbClr val="676767"/>
      </a:accent2>
      <a:accent3>
        <a:srgbClr val="676767"/>
      </a:accent3>
      <a:accent4>
        <a:srgbClr val="919191"/>
      </a:accent4>
      <a:accent5>
        <a:srgbClr val="BBBBBB"/>
      </a:accent5>
      <a:accent6>
        <a:srgbClr val="E0E0E0"/>
      </a:accent6>
      <a:hlink>
        <a:srgbClr val="000000"/>
      </a:hlink>
      <a:folHlink>
        <a:srgbClr val="67676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E32"/>
  <sheetViews>
    <sheetView showGridLines="0" workbookViewId="0"/>
  </sheetViews>
  <sheetFormatPr baseColWidth="10" defaultColWidth="10.5703125" defaultRowHeight="16" x14ac:dyDescent="0.2"/>
  <cols>
    <col min="1" max="1" width="3.5703125" customWidth="1"/>
    <col min="2" max="2" width="27.5703125" bestFit="1" customWidth="1"/>
    <col min="3" max="3" width="3.5703125" customWidth="1"/>
    <col min="4" max="4" width="12.5703125" bestFit="1" customWidth="1"/>
    <col min="5" max="5" width="10.42578125" bestFit="1" customWidth="1"/>
  </cols>
  <sheetData>
    <row r="17" spans="2:5" s="20" customFormat="1" x14ac:dyDescent="0.2">
      <c r="B17" s="20" t="s">
        <v>133</v>
      </c>
    </row>
    <row r="19" spans="2:5" x14ac:dyDescent="0.2">
      <c r="B19" t="s">
        <v>138</v>
      </c>
      <c r="D19" s="23" t="s">
        <v>136</v>
      </c>
      <c r="E19" s="23" t="s">
        <v>137</v>
      </c>
    </row>
    <row r="20" spans="2:5" x14ac:dyDescent="0.2">
      <c r="B20" s="23" t="s">
        <v>49</v>
      </c>
    </row>
    <row r="21" spans="2:5" x14ac:dyDescent="0.2">
      <c r="B21" t="s">
        <v>139</v>
      </c>
      <c r="D21" s="23" t="s">
        <v>136</v>
      </c>
      <c r="E21" s="23" t="s">
        <v>137</v>
      </c>
    </row>
    <row r="22" spans="2:5" x14ac:dyDescent="0.2">
      <c r="B22" s="23" t="s">
        <v>72</v>
      </c>
    </row>
    <row r="23" spans="2:5" x14ac:dyDescent="0.2">
      <c r="B23" s="23" t="s">
        <v>134</v>
      </c>
    </row>
    <row r="24" spans="2:5" x14ac:dyDescent="0.2">
      <c r="B24" s="23" t="s">
        <v>135</v>
      </c>
    </row>
    <row r="26" spans="2:5" x14ac:dyDescent="0.2">
      <c r="B26" s="20" t="s">
        <v>140</v>
      </c>
    </row>
    <row r="28" spans="2:5" x14ac:dyDescent="0.2">
      <c r="B28" s="24" t="s">
        <v>141</v>
      </c>
      <c r="D28" t="s">
        <v>142</v>
      </c>
    </row>
    <row r="29" spans="2:5" x14ac:dyDescent="0.2">
      <c r="B29" s="24" t="s">
        <v>143</v>
      </c>
      <c r="D29" t="s">
        <v>146</v>
      </c>
    </row>
    <row r="30" spans="2:5" x14ac:dyDescent="0.2">
      <c r="B30" s="24" t="s">
        <v>144</v>
      </c>
      <c r="D30" t="s">
        <v>150</v>
      </c>
    </row>
    <row r="31" spans="2:5" x14ac:dyDescent="0.2">
      <c r="B31" s="24" t="s">
        <v>145</v>
      </c>
      <c r="D31" t="s">
        <v>147</v>
      </c>
    </row>
    <row r="32" spans="2:5" x14ac:dyDescent="0.2">
      <c r="B32" s="24" t="s">
        <v>148</v>
      </c>
      <c r="D32" t="s">
        <v>149</v>
      </c>
    </row>
  </sheetData>
  <hyperlinks>
    <hyperlink ref="D19" location="R_wyników_Q!A1" display="dane kwartalne" xr:uid="{00000000-0004-0000-0000-000000000000}"/>
    <hyperlink ref="E19" location="R_wyników_FY!A1" display="dane roczne" xr:uid="{00000000-0004-0000-0000-000001000000}"/>
    <hyperlink ref="B20" location="Bilans!A1" display="Bilans" xr:uid="{00000000-0004-0000-0000-000002000000}"/>
    <hyperlink ref="D21" location="Cashflow_Q!A1" display="dane kwartalne" xr:uid="{00000000-0004-0000-0000-000003000000}"/>
    <hyperlink ref="E21" location="Cashflow_FY!A1" display="dane roczne" xr:uid="{00000000-0004-0000-0000-000004000000}"/>
    <hyperlink ref="B22" location="Inwestycje!A1" display="Inwestycje" xr:uid="{00000000-0004-0000-0000-000005000000}"/>
    <hyperlink ref="B23" location="HR!A1" display="Dane na temat zatrudnienia" xr:uid="{00000000-0004-0000-0000-000006000000}"/>
    <hyperlink ref="B24" location="Akcjonariat!A1" display="Akcjonariat" xr:uid="{00000000-0004-0000-0000-000007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tabSelected="1" zoomScaleNormal="100" workbookViewId="0">
      <pane xSplit="1" ySplit="1" topLeftCell="B2" activePane="bottomRight" state="frozenSplit"/>
      <selection sqref="A1:XFD1"/>
      <selection pane="topRight" activeCell="B1" sqref="B1"/>
      <selection pane="bottomLeft"/>
      <selection pane="bottomRight"/>
    </sheetView>
  </sheetViews>
  <sheetFormatPr baseColWidth="10" defaultColWidth="10.5703125" defaultRowHeight="16" x14ac:dyDescent="0.2"/>
  <cols>
    <col min="1" max="1" width="34.7109375" style="1" customWidth="1"/>
    <col min="2" max="4" width="10.5703125" style="1"/>
    <col min="5" max="5" width="10.5703125" style="30"/>
    <col min="6" max="6" width="10.5703125" style="1"/>
    <col min="7" max="15" width="10.5703125" style="30"/>
    <col min="16" max="16" width="10.5703125" style="8"/>
    <col min="17" max="18" width="10.5703125" style="3"/>
    <col min="19" max="19" width="11.5703125" style="1" customWidth="1"/>
    <col min="20" max="16384" width="10.5703125" style="1"/>
  </cols>
  <sheetData>
    <row r="1" spans="1:19" s="4" customFormat="1" x14ac:dyDescent="0.2">
      <c r="A1" s="60" t="s">
        <v>116</v>
      </c>
      <c r="B1" s="34" t="s">
        <v>101</v>
      </c>
      <c r="C1" s="34" t="s">
        <v>102</v>
      </c>
      <c r="D1" s="34" t="s">
        <v>103</v>
      </c>
      <c r="E1" s="35" t="s">
        <v>104</v>
      </c>
      <c r="F1" s="34" t="s">
        <v>105</v>
      </c>
      <c r="G1" s="35" t="s">
        <v>151</v>
      </c>
      <c r="H1" s="35" t="s">
        <v>153</v>
      </c>
      <c r="I1" s="35" t="s">
        <v>157</v>
      </c>
      <c r="J1" s="35" t="s">
        <v>158</v>
      </c>
      <c r="K1" s="35" t="s">
        <v>160</v>
      </c>
      <c r="L1" s="35" t="s">
        <v>163</v>
      </c>
      <c r="M1" s="35" t="s">
        <v>165</v>
      </c>
      <c r="N1" s="35" t="s">
        <v>169</v>
      </c>
      <c r="O1" s="35" t="s">
        <v>171</v>
      </c>
      <c r="P1" s="45" t="s">
        <v>173</v>
      </c>
      <c r="Q1" s="34" t="s">
        <v>78</v>
      </c>
      <c r="R1" s="34" t="s">
        <v>77</v>
      </c>
    </row>
    <row r="2" spans="1:19" s="4" customFormat="1" x14ac:dyDescent="0.2">
      <c r="A2" s="35" t="s">
        <v>11</v>
      </c>
      <c r="B2" s="34">
        <v>22.048819999999999</v>
      </c>
      <c r="C2" s="34">
        <v>31.13747</v>
      </c>
      <c r="D2" s="34">
        <v>33.396149999999999</v>
      </c>
      <c r="E2" s="35">
        <v>34.274999999999999</v>
      </c>
      <c r="F2" s="34">
        <v>30.470009999999998</v>
      </c>
      <c r="G2" s="35">
        <v>33.31</v>
      </c>
      <c r="H2" s="35">
        <v>39.24</v>
      </c>
      <c r="I2" s="35">
        <v>39.279990000000005</v>
      </c>
      <c r="J2" s="35">
        <v>35</v>
      </c>
      <c r="K2" s="35">
        <v>41.66</v>
      </c>
      <c r="L2" s="35">
        <f>119.6-J2-K2</f>
        <v>42.94</v>
      </c>
      <c r="M2" s="35">
        <v>51.19</v>
      </c>
      <c r="N2" s="35">
        <v>42.05</v>
      </c>
      <c r="O2" s="35">
        <v>40.76</v>
      </c>
      <c r="P2" s="45">
        <v>40.590000000000003</v>
      </c>
      <c r="Q2" s="53">
        <f>P2/O2-1</f>
        <v>-4.1707556427869052E-3</v>
      </c>
      <c r="R2" s="53">
        <f>P2/L2-1</f>
        <v>-5.4727526781555569E-2</v>
      </c>
    </row>
    <row r="3" spans="1:19" x14ac:dyDescent="0.2">
      <c r="A3" s="38" t="s">
        <v>106</v>
      </c>
      <c r="B3" s="60">
        <v>9.39</v>
      </c>
      <c r="C3" s="60">
        <v>13.754</v>
      </c>
      <c r="D3" s="60">
        <v>17.039000000000001</v>
      </c>
      <c r="E3" s="38">
        <v>15.42</v>
      </c>
      <c r="F3" s="60">
        <v>12.83620136</v>
      </c>
      <c r="G3" s="38">
        <v>13.89</v>
      </c>
      <c r="H3" s="38">
        <v>16.04</v>
      </c>
      <c r="I3" s="38">
        <v>19.190000000000001</v>
      </c>
      <c r="J3" s="38">
        <v>14.61</v>
      </c>
      <c r="K3" s="38">
        <v>20.98</v>
      </c>
      <c r="L3" s="38">
        <v>24.77</v>
      </c>
      <c r="M3" s="38">
        <v>21.06</v>
      </c>
      <c r="N3" s="38">
        <v>14</v>
      </c>
      <c r="O3" s="38">
        <v>14.5</v>
      </c>
      <c r="P3" s="37">
        <f>19.14-1.74</f>
        <v>17.400000000000002</v>
      </c>
      <c r="Q3" s="61">
        <f>P3/O3-1</f>
        <v>0.20000000000000018</v>
      </c>
      <c r="R3" s="61">
        <f>P3/L3-1</f>
        <v>-0.29753734356075889</v>
      </c>
      <c r="S3" s="4"/>
    </row>
    <row r="4" spans="1:19" s="2" customFormat="1" x14ac:dyDescent="0.2">
      <c r="A4" s="63" t="s">
        <v>107</v>
      </c>
      <c r="B4" s="62">
        <f t="shared" ref="B4:G4" si="0">B3/B2</f>
        <v>0.42587313062558452</v>
      </c>
      <c r="C4" s="62">
        <f t="shared" si="0"/>
        <v>0.44171861104964533</v>
      </c>
      <c r="D4" s="62">
        <f t="shared" si="0"/>
        <v>0.51020851205902484</v>
      </c>
      <c r="E4" s="63">
        <f t="shared" si="0"/>
        <v>0.44989059080962801</v>
      </c>
      <c r="F4" s="62">
        <f t="shared" si="0"/>
        <v>0.42127329003173947</v>
      </c>
      <c r="G4" s="63">
        <f t="shared" si="0"/>
        <v>0.41699189432602823</v>
      </c>
      <c r="H4" s="63">
        <f t="shared" ref="H4:P4" si="1">H3/H2</f>
        <v>0.40876656472986744</v>
      </c>
      <c r="I4" s="63">
        <f t="shared" si="1"/>
        <v>0.48854391256209584</v>
      </c>
      <c r="J4" s="63">
        <f>J3/J2</f>
        <v>0.41742857142857143</v>
      </c>
      <c r="K4" s="63">
        <f>K3/K2</f>
        <v>0.50360057609217479</v>
      </c>
      <c r="L4" s="63">
        <f>L3/L2</f>
        <v>0.57685142058686545</v>
      </c>
      <c r="M4" s="63">
        <f t="shared" ref="M4:O4" si="2">M3/M2</f>
        <v>0.41140847821840204</v>
      </c>
      <c r="N4" s="63">
        <f t="shared" si="2"/>
        <v>0.33293697978596909</v>
      </c>
      <c r="O4" s="63">
        <f t="shared" si="2"/>
        <v>0.35574092247301276</v>
      </c>
      <c r="P4" s="64">
        <f t="shared" si="1"/>
        <v>0.42867701404286773</v>
      </c>
      <c r="Q4" s="62">
        <f>P4-O4</f>
        <v>7.2936091569854977E-2</v>
      </c>
      <c r="R4" s="62">
        <f>P4-L4</f>
        <v>-0.14817440654399772</v>
      </c>
      <c r="S4" s="4"/>
    </row>
    <row r="5" spans="1:19" x14ac:dyDescent="0.2">
      <c r="A5" s="38" t="s">
        <v>108</v>
      </c>
      <c r="B5" s="60">
        <v>12.659000000000001</v>
      </c>
      <c r="C5" s="60">
        <v>17.382999999999999</v>
      </c>
      <c r="D5" s="60">
        <v>16.356999999999999</v>
      </c>
      <c r="E5" s="38">
        <v>18.86</v>
      </c>
      <c r="F5" s="60">
        <v>17.633808640000002</v>
      </c>
      <c r="G5" s="38">
        <v>19.420000000000002</v>
      </c>
      <c r="H5" s="38">
        <v>23.2</v>
      </c>
      <c r="I5" s="38">
        <v>20.09</v>
      </c>
      <c r="J5" s="38">
        <v>20.39</v>
      </c>
      <c r="K5" s="38">
        <v>20.68</v>
      </c>
      <c r="L5" s="38">
        <v>18.170000000000002</v>
      </c>
      <c r="M5" s="38">
        <v>30.130000000000003</v>
      </c>
      <c r="N5" s="38">
        <v>28.05</v>
      </c>
      <c r="O5" s="38">
        <v>26.26</v>
      </c>
      <c r="P5" s="37">
        <f>P2-P3</f>
        <v>23.19</v>
      </c>
      <c r="Q5" s="61">
        <f>P5/O5-1</f>
        <v>-0.11690784463061688</v>
      </c>
      <c r="R5" s="61">
        <f>P5/L5-1</f>
        <v>0.27627958172812317</v>
      </c>
      <c r="S5" s="4"/>
    </row>
    <row r="6" spans="1:19" s="2" customFormat="1" x14ac:dyDescent="0.2">
      <c r="A6" s="63" t="s">
        <v>109</v>
      </c>
      <c r="B6" s="62">
        <f t="shared" ref="B6:P6" si="3">B5/B2</f>
        <v>0.57413503307660008</v>
      </c>
      <c r="C6" s="62">
        <f t="shared" si="3"/>
        <v>0.55826629459618904</v>
      </c>
      <c r="D6" s="62">
        <f t="shared" si="3"/>
        <v>0.48978699640527423</v>
      </c>
      <c r="E6" s="63">
        <f t="shared" si="3"/>
        <v>0.55025528811086799</v>
      </c>
      <c r="F6" s="62">
        <f t="shared" si="3"/>
        <v>0.5787267099682607</v>
      </c>
      <c r="G6" s="63">
        <f t="shared" si="3"/>
        <v>0.58300810567397177</v>
      </c>
      <c r="H6" s="63">
        <f t="shared" si="3"/>
        <v>0.5912334352701325</v>
      </c>
      <c r="I6" s="63">
        <f t="shared" si="3"/>
        <v>0.51145634202045365</v>
      </c>
      <c r="J6" s="63">
        <f t="shared" si="3"/>
        <v>0.58257142857142863</v>
      </c>
      <c r="K6" s="63">
        <f t="shared" si="3"/>
        <v>0.49639942390782527</v>
      </c>
      <c r="L6" s="63">
        <f t="shared" si="3"/>
        <v>0.42314857941313466</v>
      </c>
      <c r="M6" s="63">
        <f t="shared" si="3"/>
        <v>0.58859152178159801</v>
      </c>
      <c r="N6" s="63">
        <f t="shared" ref="N6:O6" si="4">N5/N2</f>
        <v>0.66706302021403097</v>
      </c>
      <c r="O6" s="63">
        <f t="shared" si="4"/>
        <v>0.6442590775269873</v>
      </c>
      <c r="P6" s="64">
        <f t="shared" si="3"/>
        <v>0.57132298595713227</v>
      </c>
      <c r="Q6" s="62">
        <f>P6-O6</f>
        <v>-7.2936091569855033E-2</v>
      </c>
      <c r="R6" s="62">
        <f>P6-L6</f>
        <v>0.14817440654399761</v>
      </c>
      <c r="S6" s="4"/>
    </row>
    <row r="7" spans="1:19" x14ac:dyDescent="0.2">
      <c r="A7" s="60" t="s">
        <v>12</v>
      </c>
      <c r="B7" s="60">
        <v>14.340249999999999</v>
      </c>
      <c r="C7" s="60">
        <v>18.378350000000001</v>
      </c>
      <c r="D7" s="60">
        <v>20.219360000000002</v>
      </c>
      <c r="E7" s="38">
        <v>20.689</v>
      </c>
      <c r="F7" s="60">
        <v>18.545750000000002</v>
      </c>
      <c r="G7" s="38">
        <v>20.45</v>
      </c>
      <c r="H7" s="38">
        <v>21.03</v>
      </c>
      <c r="I7" s="38">
        <v>20.414249999999996</v>
      </c>
      <c r="J7" s="38">
        <v>20.77</v>
      </c>
      <c r="K7" s="38">
        <v>24.17</v>
      </c>
      <c r="L7" s="38">
        <f>67.67-J7-K7</f>
        <v>22.730000000000004</v>
      </c>
      <c r="M7" s="38">
        <v>32.399999999999991</v>
      </c>
      <c r="N7" s="38">
        <v>24.8</v>
      </c>
      <c r="O7" s="38">
        <v>25.48</v>
      </c>
      <c r="P7" s="37">
        <v>24.3</v>
      </c>
      <c r="Q7" s="61">
        <f>P7/O7-1</f>
        <v>-4.6310832025117765E-2</v>
      </c>
      <c r="R7" s="61">
        <f>P7/L7-1</f>
        <v>6.9071711394632418E-2</v>
      </c>
      <c r="S7" s="4"/>
    </row>
    <row r="8" spans="1:19" s="2" customFormat="1" x14ac:dyDescent="0.2">
      <c r="A8" s="62" t="s">
        <v>115</v>
      </c>
      <c r="B8" s="62">
        <f t="shared" ref="B8:G8" si="5">B7/B2</f>
        <v>0.65038627917503067</v>
      </c>
      <c r="C8" s="62">
        <f t="shared" si="5"/>
        <v>0.59023260399769151</v>
      </c>
      <c r="D8" s="62">
        <f t="shared" si="5"/>
        <v>0.60543984860530342</v>
      </c>
      <c r="E8" s="63">
        <f t="shared" si="5"/>
        <v>0.60361779722830056</v>
      </c>
      <c r="F8" s="62">
        <f t="shared" si="5"/>
        <v>0.60865585538042166</v>
      </c>
      <c r="G8" s="63">
        <f t="shared" si="5"/>
        <v>0.61392975082557788</v>
      </c>
      <c r="H8" s="63">
        <f t="shared" ref="H8:P8" si="6">H7/H2</f>
        <v>0.53593272171253825</v>
      </c>
      <c r="I8" s="63">
        <f t="shared" si="6"/>
        <v>0.51971118118920079</v>
      </c>
      <c r="J8" s="63">
        <f>J7/J2</f>
        <v>0.59342857142857142</v>
      </c>
      <c r="K8" s="63">
        <f>K7/K2</f>
        <v>0.58017282765242451</v>
      </c>
      <c r="L8" s="63">
        <f>L7/L2</f>
        <v>0.52934326967862144</v>
      </c>
      <c r="M8" s="63">
        <f t="shared" ref="M8:O8" si="7">M7/M2</f>
        <v>0.63293612033600299</v>
      </c>
      <c r="N8" s="63">
        <f t="shared" si="7"/>
        <v>0.58977407847800245</v>
      </c>
      <c r="O8" s="63">
        <f t="shared" si="7"/>
        <v>0.62512266928361138</v>
      </c>
      <c r="P8" s="64">
        <f t="shared" si="6"/>
        <v>0.59866962305986693</v>
      </c>
      <c r="Q8" s="62">
        <f>P8-O8</f>
        <v>-2.6453046223744447E-2</v>
      </c>
      <c r="R8" s="62">
        <f>P8-L8</f>
        <v>6.9326353381245487E-2</v>
      </c>
      <c r="S8" s="4"/>
    </row>
    <row r="9" spans="1:19" s="4" customFormat="1" x14ac:dyDescent="0.2">
      <c r="A9" s="34" t="s">
        <v>13</v>
      </c>
      <c r="B9" s="34">
        <v>7.7085699999999999</v>
      </c>
      <c r="C9" s="34">
        <v>12.759119999999999</v>
      </c>
      <c r="D9" s="34">
        <v>13.17679</v>
      </c>
      <c r="E9" s="35">
        <v>13.586</v>
      </c>
      <c r="F9" s="34">
        <v>11.92426</v>
      </c>
      <c r="G9" s="35">
        <v>12.86</v>
      </c>
      <c r="H9" s="35">
        <v>18.21</v>
      </c>
      <c r="I9" s="35">
        <v>18.865739999999995</v>
      </c>
      <c r="J9" s="35">
        <v>14.23</v>
      </c>
      <c r="K9" s="35">
        <v>17.48</v>
      </c>
      <c r="L9" s="35">
        <f>51.92-J9-K9</f>
        <v>20.209999999999997</v>
      </c>
      <c r="M9" s="35">
        <v>18.799999999999994</v>
      </c>
      <c r="N9" s="35">
        <v>17.25</v>
      </c>
      <c r="O9" s="35">
        <v>15.29</v>
      </c>
      <c r="P9" s="45">
        <v>16.29</v>
      </c>
      <c r="Q9" s="53">
        <f>P9/O9-1</f>
        <v>6.5402223675604887E-2</v>
      </c>
      <c r="R9" s="53">
        <f>P9/L9-1</f>
        <v>-0.19396338446313699</v>
      </c>
    </row>
    <row r="10" spans="1:19" s="2" customFormat="1" x14ac:dyDescent="0.2">
      <c r="A10" s="62" t="s">
        <v>83</v>
      </c>
      <c r="B10" s="62">
        <f t="shared" ref="B10:G10" si="8">B9/B2</f>
        <v>0.34961372082496933</v>
      </c>
      <c r="C10" s="62">
        <f t="shared" si="8"/>
        <v>0.40976739600230844</v>
      </c>
      <c r="D10" s="62">
        <f t="shared" si="8"/>
        <v>0.39456015139469675</v>
      </c>
      <c r="E10" s="63">
        <f t="shared" si="8"/>
        <v>0.3963822027716995</v>
      </c>
      <c r="F10" s="62">
        <f t="shared" si="8"/>
        <v>0.39134414461957845</v>
      </c>
      <c r="G10" s="63">
        <f t="shared" si="8"/>
        <v>0.38607024917442206</v>
      </c>
      <c r="H10" s="63">
        <f t="shared" ref="H10:P10" si="9">H9/H2</f>
        <v>0.46406727828746175</v>
      </c>
      <c r="I10" s="63">
        <f t="shared" si="9"/>
        <v>0.48028881881079888</v>
      </c>
      <c r="J10" s="63">
        <f t="shared" si="9"/>
        <v>0.40657142857142858</v>
      </c>
      <c r="K10" s="63">
        <f t="shared" si="9"/>
        <v>0.41958713394143066</v>
      </c>
      <c r="L10" s="63">
        <f t="shared" si="9"/>
        <v>0.47065673032137861</v>
      </c>
      <c r="M10" s="63">
        <f t="shared" si="9"/>
        <v>0.36725923031842145</v>
      </c>
      <c r="N10" s="63">
        <f t="shared" ref="N10:O10" si="10">N9/N2</f>
        <v>0.41022592152199766</v>
      </c>
      <c r="O10" s="63">
        <f t="shared" si="10"/>
        <v>0.37512266928361138</v>
      </c>
      <c r="P10" s="64">
        <f t="shared" si="9"/>
        <v>0.40133037694013296</v>
      </c>
      <c r="Q10" s="62">
        <f>P10-O10</f>
        <v>2.6207707656521584E-2</v>
      </c>
      <c r="R10" s="62">
        <f>P10-L10</f>
        <v>-6.9326353381245653E-2</v>
      </c>
      <c r="S10" s="4"/>
    </row>
    <row r="11" spans="1:19" x14ac:dyDescent="0.2">
      <c r="A11" s="60" t="s">
        <v>14</v>
      </c>
      <c r="B11" s="60">
        <v>0.39284999999999998</v>
      </c>
      <c r="C11" s="60">
        <v>1.208E-2</v>
      </c>
      <c r="D11" s="60">
        <v>0.66849999999999998</v>
      </c>
      <c r="E11" s="38">
        <v>1.0029999999999999</v>
      </c>
      <c r="F11" s="60">
        <v>0.39810000000000001</v>
      </c>
      <c r="G11" s="38">
        <v>0.27</v>
      </c>
      <c r="H11" s="38">
        <v>0.63</v>
      </c>
      <c r="I11" s="38">
        <v>2.0019</v>
      </c>
      <c r="J11" s="38">
        <v>0.89</v>
      </c>
      <c r="K11" s="38">
        <v>0.32</v>
      </c>
      <c r="L11" s="38">
        <f>1.69-J11-K11</f>
        <v>0.47999999999999993</v>
      </c>
      <c r="M11" s="38">
        <v>1.3499999999999999</v>
      </c>
      <c r="N11" s="38">
        <v>0.44</v>
      </c>
      <c r="O11" s="38">
        <v>0.82</v>
      </c>
      <c r="P11" s="37">
        <v>0.54</v>
      </c>
      <c r="Q11" s="61">
        <f t="shared" ref="Q11:Q12" si="11">P11/O11-1</f>
        <v>-0.34146341463414631</v>
      </c>
      <c r="R11" s="61">
        <f t="shared" ref="R11:R12" si="12">P11/L11-1</f>
        <v>0.12500000000000022</v>
      </c>
      <c r="S11" s="4"/>
    </row>
    <row r="12" spans="1:19" x14ac:dyDescent="0.2">
      <c r="A12" s="60" t="s">
        <v>15</v>
      </c>
      <c r="B12" s="60">
        <v>5.5493600000000001</v>
      </c>
      <c r="C12" s="60">
        <v>7.50021</v>
      </c>
      <c r="D12" s="60">
        <v>8.3685799999999997</v>
      </c>
      <c r="E12" s="38">
        <v>8.99</v>
      </c>
      <c r="F12" s="60">
        <v>6.9743899999999996</v>
      </c>
      <c r="G12" s="38">
        <v>7.64</v>
      </c>
      <c r="H12" s="38">
        <v>11.76</v>
      </c>
      <c r="I12" s="38">
        <v>9.8556099999999969</v>
      </c>
      <c r="J12" s="38">
        <v>9.5399999999999991</v>
      </c>
      <c r="K12" s="38">
        <v>10.95</v>
      </c>
      <c r="L12" s="38">
        <f>32.73-J12-K12</f>
        <v>12.239999999999998</v>
      </c>
      <c r="M12" s="38">
        <v>10.240000000000002</v>
      </c>
      <c r="N12" s="38">
        <v>10.19</v>
      </c>
      <c r="O12" s="38">
        <v>11.6</v>
      </c>
      <c r="P12" s="37">
        <v>11</v>
      </c>
      <c r="Q12" s="61">
        <f t="shared" si="11"/>
        <v>-5.1724137931034475E-2</v>
      </c>
      <c r="R12" s="61">
        <f t="shared" si="12"/>
        <v>-0.10130718954248352</v>
      </c>
      <c r="S12" s="4"/>
    </row>
    <row r="13" spans="1:19" s="2" customFormat="1" x14ac:dyDescent="0.2">
      <c r="A13" s="62" t="s">
        <v>80</v>
      </c>
      <c r="B13" s="62">
        <f t="shared" ref="B13:P13" si="13">B12/B2</f>
        <v>0.25168512419258721</v>
      </c>
      <c r="C13" s="62">
        <f t="shared" si="13"/>
        <v>0.24087409799190493</v>
      </c>
      <c r="D13" s="62">
        <f t="shared" si="13"/>
        <v>0.25058517224290822</v>
      </c>
      <c r="E13" s="63">
        <f t="shared" si="13"/>
        <v>0.26229029905178702</v>
      </c>
      <c r="F13" s="62">
        <f t="shared" si="13"/>
        <v>0.22889359077991769</v>
      </c>
      <c r="G13" s="63">
        <f t="shared" si="13"/>
        <v>0.22936055238667064</v>
      </c>
      <c r="H13" s="63">
        <f t="shared" si="13"/>
        <v>0.29969418960244648</v>
      </c>
      <c r="I13" s="63">
        <f t="shared" si="13"/>
        <v>0.25090663210453962</v>
      </c>
      <c r="J13" s="63">
        <f t="shared" si="13"/>
        <v>0.27257142857142852</v>
      </c>
      <c r="K13" s="63">
        <f t="shared" si="13"/>
        <v>0.2628420547287566</v>
      </c>
      <c r="L13" s="63">
        <f t="shared" si="13"/>
        <v>0.28504890544946437</v>
      </c>
      <c r="M13" s="63">
        <f t="shared" si="13"/>
        <v>0.20003907013088498</v>
      </c>
      <c r="N13" s="63">
        <f t="shared" ref="N13:O13" si="14">N12/N2</f>
        <v>0.2423305588585018</v>
      </c>
      <c r="O13" s="63">
        <f t="shared" si="14"/>
        <v>0.28459273797841023</v>
      </c>
      <c r="P13" s="64">
        <f t="shared" si="13"/>
        <v>0.27100271002710025</v>
      </c>
      <c r="Q13" s="62">
        <f>P13-O13</f>
        <v>-1.359002795130998E-2</v>
      </c>
      <c r="R13" s="62">
        <f>P13-L13</f>
        <v>-1.4046195422364127E-2</v>
      </c>
      <c r="S13" s="4"/>
    </row>
    <row r="14" spans="1:19" x14ac:dyDescent="0.2">
      <c r="A14" s="60" t="s">
        <v>16</v>
      </c>
      <c r="B14" s="60">
        <v>2.9874100000000001</v>
      </c>
      <c r="C14" s="60">
        <v>4.1910499999999997</v>
      </c>
      <c r="D14" s="60">
        <v>2.6489500000000001</v>
      </c>
      <c r="E14" s="38">
        <v>2.8969999999999998</v>
      </c>
      <c r="F14" s="60">
        <v>4.37737</v>
      </c>
      <c r="G14" s="38">
        <v>4.18</v>
      </c>
      <c r="H14" s="38">
        <v>5.0599999999999996</v>
      </c>
      <c r="I14" s="38">
        <v>6.2626300000000006</v>
      </c>
      <c r="J14" s="38">
        <v>4.72</v>
      </c>
      <c r="K14" s="38">
        <v>4.67</v>
      </c>
      <c r="L14" s="38">
        <f>14.88-J14-K14</f>
        <v>5.49</v>
      </c>
      <c r="M14" s="38">
        <v>5.3800000000000026</v>
      </c>
      <c r="N14" s="38">
        <v>5.62</v>
      </c>
      <c r="O14" s="38">
        <v>6.1</v>
      </c>
      <c r="P14" s="37">
        <v>5.2</v>
      </c>
      <c r="Q14" s="61">
        <f>P14/O14-1</f>
        <v>-0.14754098360655732</v>
      </c>
      <c r="R14" s="61">
        <f>P14/L14-1</f>
        <v>-5.2823315118397107E-2</v>
      </c>
      <c r="S14" s="4"/>
    </row>
    <row r="15" spans="1:19" s="2" customFormat="1" x14ac:dyDescent="0.2">
      <c r="A15" s="62" t="s">
        <v>81</v>
      </c>
      <c r="B15" s="62">
        <f t="shared" ref="B15:G15" si="15">B14/B2</f>
        <v>0.13549069746136075</v>
      </c>
      <c r="C15" s="62">
        <f t="shared" si="15"/>
        <v>0.13459828303327148</v>
      </c>
      <c r="D15" s="62">
        <f t="shared" si="15"/>
        <v>7.9319023300590041E-2</v>
      </c>
      <c r="E15" s="63">
        <f t="shared" si="15"/>
        <v>8.4522246535375642E-2</v>
      </c>
      <c r="F15" s="62">
        <f t="shared" si="15"/>
        <v>0.14366158724595102</v>
      </c>
      <c r="G15" s="63">
        <f t="shared" si="15"/>
        <v>0.12548784148904232</v>
      </c>
      <c r="H15" s="63">
        <f t="shared" ref="H15:P15" si="16">H14/H2</f>
        <v>0.12895005096839957</v>
      </c>
      <c r="I15" s="63">
        <f t="shared" si="16"/>
        <v>0.15943563122088369</v>
      </c>
      <c r="J15" s="63">
        <f>J14/J2</f>
        <v>0.13485714285714284</v>
      </c>
      <c r="K15" s="63">
        <f>K14/K2</f>
        <v>0.11209793566970716</v>
      </c>
      <c r="L15" s="63">
        <f>L14/L2</f>
        <v>0.12785281788542152</v>
      </c>
      <c r="M15" s="63">
        <f t="shared" ref="M15:O15" si="17">M14/M2</f>
        <v>0.10509865208048452</v>
      </c>
      <c r="N15" s="63">
        <f t="shared" si="17"/>
        <v>0.13365041617122475</v>
      </c>
      <c r="O15" s="63">
        <f t="shared" si="17"/>
        <v>0.14965652600588814</v>
      </c>
      <c r="P15" s="64">
        <f t="shared" si="16"/>
        <v>0.12811037201281103</v>
      </c>
      <c r="Q15" s="62">
        <f>P15-O15</f>
        <v>-2.1546153993077105E-2</v>
      </c>
      <c r="R15" s="62">
        <f>P15-L15</f>
        <v>2.5755412738950878E-4</v>
      </c>
      <c r="S15" s="4"/>
    </row>
    <row r="16" spans="1:19" x14ac:dyDescent="0.2">
      <c r="A16" s="60" t="s">
        <v>25</v>
      </c>
      <c r="B16" s="60">
        <v>4.4339999999999997E-2</v>
      </c>
      <c r="C16" s="60">
        <v>5.2929999999999998E-2</v>
      </c>
      <c r="D16" s="60">
        <v>1.25789</v>
      </c>
      <c r="E16" s="38">
        <v>-0.67600000000000005</v>
      </c>
      <c r="F16" s="60">
        <v>0.26418999999999998</v>
      </c>
      <c r="G16" s="38">
        <v>0.2</v>
      </c>
      <c r="H16" s="38">
        <v>0.3</v>
      </c>
      <c r="I16" s="38">
        <v>1.0358100000000001</v>
      </c>
      <c r="J16" s="38">
        <v>0.05</v>
      </c>
      <c r="K16" s="38">
        <v>0.28999999999999998</v>
      </c>
      <c r="L16" s="38">
        <f>0.65-J16-K16</f>
        <v>0.31</v>
      </c>
      <c r="M16" s="38">
        <v>0.86999999999999988</v>
      </c>
      <c r="N16" s="38">
        <v>0.4</v>
      </c>
      <c r="O16" s="38">
        <v>0.2</v>
      </c>
      <c r="P16" s="37">
        <v>0.1</v>
      </c>
      <c r="Q16" s="61">
        <f t="shared" ref="Q16:Q17" si="18">P16/O16-1</f>
        <v>-0.5</v>
      </c>
      <c r="R16" s="61">
        <f t="shared" ref="R16:R17" si="19">P16/L16-1</f>
        <v>-0.67741935483870963</v>
      </c>
      <c r="S16" s="4"/>
    </row>
    <row r="17" spans="1:19" s="4" customFormat="1" x14ac:dyDescent="0.2">
      <c r="A17" s="34" t="s">
        <v>82</v>
      </c>
      <c r="B17" s="34">
        <v>0.54974999999999996</v>
      </c>
      <c r="C17" s="34">
        <v>2.0346000000000002</v>
      </c>
      <c r="D17" s="34">
        <v>2.6976900000000001</v>
      </c>
      <c r="E17" s="35">
        <v>4.67</v>
      </c>
      <c r="F17" s="34">
        <v>1.9411799999999999</v>
      </c>
      <c r="G17" s="35">
        <v>2.34</v>
      </c>
      <c r="H17" s="35">
        <v>3</v>
      </c>
      <c r="I17" s="35">
        <v>5.0188200000000016</v>
      </c>
      <c r="J17" s="35">
        <v>2.3199999999999998</v>
      </c>
      <c r="K17" s="35">
        <v>3.49</v>
      </c>
      <c r="L17" s="35">
        <v>4.34</v>
      </c>
      <c r="M17" s="35">
        <v>5.6999999999999993</v>
      </c>
      <c r="N17" s="35">
        <f>1.48+1.98</f>
        <v>3.46</v>
      </c>
      <c r="O17" s="35">
        <v>0.28999999999999998</v>
      </c>
      <c r="P17" s="45">
        <v>2.52</v>
      </c>
      <c r="Q17" s="53">
        <f t="shared" si="18"/>
        <v>7.6896551724137936</v>
      </c>
      <c r="R17" s="53">
        <f t="shared" si="19"/>
        <v>-0.41935483870967738</v>
      </c>
    </row>
    <row r="18" spans="1:19" s="2" customFormat="1" x14ac:dyDescent="0.2">
      <c r="A18" s="62" t="s">
        <v>84</v>
      </c>
      <c r="B18" s="62">
        <f t="shared" ref="B18:P18" si="20">B17/B2</f>
        <v>2.4933307088542606E-2</v>
      </c>
      <c r="C18" s="62">
        <f t="shared" si="20"/>
        <v>6.5342495713364007E-2</v>
      </c>
      <c r="D18" s="62">
        <f t="shared" si="20"/>
        <v>8.0778472967692388E-2</v>
      </c>
      <c r="E18" s="63">
        <f t="shared" si="20"/>
        <v>0.1362509117432531</v>
      </c>
      <c r="F18" s="62">
        <f t="shared" si="20"/>
        <v>6.3707888510702818E-2</v>
      </c>
      <c r="G18" s="63">
        <f t="shared" si="20"/>
        <v>7.0249174422095453E-2</v>
      </c>
      <c r="H18" s="63">
        <f t="shared" si="20"/>
        <v>7.64525993883792E-2</v>
      </c>
      <c r="I18" s="63">
        <f t="shared" si="20"/>
        <v>0.1277703991268837</v>
      </c>
      <c r="J18" s="63">
        <f t="shared" si="20"/>
        <v>6.6285714285714281E-2</v>
      </c>
      <c r="K18" s="63">
        <f t="shared" si="20"/>
        <v>8.3773403744599143E-2</v>
      </c>
      <c r="L18" s="63">
        <f t="shared" si="20"/>
        <v>0.10107126222636237</v>
      </c>
      <c r="M18" s="63">
        <f t="shared" si="20"/>
        <v>0.11134987302207462</v>
      </c>
      <c r="N18" s="63">
        <f t="shared" ref="N18:O18" si="21">N17/N2</f>
        <v>8.2282996432818084E-2</v>
      </c>
      <c r="O18" s="63">
        <f t="shared" si="21"/>
        <v>7.1148184494602548E-3</v>
      </c>
      <c r="P18" s="64">
        <f t="shared" si="20"/>
        <v>6.2084257206208422E-2</v>
      </c>
      <c r="Q18" s="62">
        <f>P18-O18</f>
        <v>5.4969438756748167E-2</v>
      </c>
      <c r="R18" s="62">
        <f>P18-L18</f>
        <v>-3.8987005020153946E-2</v>
      </c>
      <c r="S18" s="4"/>
    </row>
    <row r="19" spans="1:19" s="4" customFormat="1" x14ac:dyDescent="0.2">
      <c r="A19" s="34" t="s">
        <v>17</v>
      </c>
      <c r="B19" s="34">
        <v>-0.47969000000000001</v>
      </c>
      <c r="C19" s="34">
        <v>1.02701</v>
      </c>
      <c r="D19" s="34">
        <v>1.5698700000000001</v>
      </c>
      <c r="E19" s="35">
        <v>3.3780000000000001</v>
      </c>
      <c r="F19" s="34">
        <v>0.70640999999999998</v>
      </c>
      <c r="G19" s="35">
        <v>1.1200000000000001</v>
      </c>
      <c r="H19" s="35">
        <v>1.72</v>
      </c>
      <c r="I19" s="35">
        <v>3.7135899999999999</v>
      </c>
      <c r="J19" s="35">
        <v>0.81</v>
      </c>
      <c r="K19" s="35">
        <v>1.89</v>
      </c>
      <c r="L19" s="35">
        <f>5.36-J19-K19</f>
        <v>2.660000000000001</v>
      </c>
      <c r="M19" s="35">
        <v>3.6499999999999986</v>
      </c>
      <c r="N19" s="35">
        <v>1.48</v>
      </c>
      <c r="O19" s="35">
        <v>-1.8</v>
      </c>
      <c r="P19" s="45">
        <v>0.54</v>
      </c>
      <c r="Q19" s="53">
        <f>P19/O19-1</f>
        <v>-1.3</v>
      </c>
      <c r="R19" s="53">
        <f>P19/L19-1</f>
        <v>-0.79699248120300759</v>
      </c>
    </row>
    <row r="20" spans="1:19" s="2" customFormat="1" x14ac:dyDescent="0.2">
      <c r="A20" s="62" t="s">
        <v>85</v>
      </c>
      <c r="B20" s="62">
        <f t="shared" ref="B20:G20" si="22">B19/B2</f>
        <v>-2.1755812782724881E-2</v>
      </c>
      <c r="C20" s="62">
        <f t="shared" si="22"/>
        <v>3.2983090790613366E-2</v>
      </c>
      <c r="D20" s="62">
        <f t="shared" si="22"/>
        <v>4.7007514339227729E-2</v>
      </c>
      <c r="E20" s="63">
        <f t="shared" si="22"/>
        <v>9.8555798687089718E-2</v>
      </c>
      <c r="F20" s="62">
        <f t="shared" si="22"/>
        <v>2.3183779723078529E-2</v>
      </c>
      <c r="G20" s="63">
        <f t="shared" si="22"/>
        <v>3.3623536475532873E-2</v>
      </c>
      <c r="H20" s="63">
        <f t="shared" ref="H20:P20" si="23">H19/H2</f>
        <v>4.383282364933741E-2</v>
      </c>
      <c r="I20" s="63">
        <f t="shared" si="23"/>
        <v>9.4541521013625493E-2</v>
      </c>
      <c r="J20" s="63">
        <f>J19/J2</f>
        <v>2.3142857142857146E-2</v>
      </c>
      <c r="K20" s="63">
        <f>K19/K2</f>
        <v>4.5367258761401824E-2</v>
      </c>
      <c r="L20" s="63">
        <f>L19/L2</f>
        <v>6.1946902654867284E-2</v>
      </c>
      <c r="M20" s="63">
        <f t="shared" ref="M20:O20" si="24">M19/M2</f>
        <v>7.130298886501267E-2</v>
      </c>
      <c r="N20" s="63">
        <f t="shared" si="24"/>
        <v>3.5196195005945306E-2</v>
      </c>
      <c r="O20" s="63">
        <f t="shared" si="24"/>
        <v>-4.416094210009814E-2</v>
      </c>
      <c r="P20" s="64">
        <f t="shared" si="23"/>
        <v>1.3303769401330377E-2</v>
      </c>
      <c r="Q20" s="62">
        <f>P20-O20</f>
        <v>5.7464711501428518E-2</v>
      </c>
      <c r="R20" s="62">
        <f>P20-L20</f>
        <v>-4.8643133253536905E-2</v>
      </c>
      <c r="S20" s="4"/>
    </row>
    <row r="21" spans="1:19" x14ac:dyDescent="0.2">
      <c r="A21" s="60" t="s">
        <v>18</v>
      </c>
      <c r="B21" s="60">
        <v>5.79E-3</v>
      </c>
      <c r="C21" s="60">
        <v>0.90966999999999998</v>
      </c>
      <c r="D21" s="60">
        <v>-0.11751</v>
      </c>
      <c r="E21" s="38">
        <v>-0.76600000000000001</v>
      </c>
      <c r="F21" s="60">
        <v>0.27355000000000002</v>
      </c>
      <c r="G21" s="38">
        <v>0.55000000000000004</v>
      </c>
      <c r="H21" s="38">
        <v>0.2</v>
      </c>
      <c r="I21" s="38">
        <v>1.12645</v>
      </c>
      <c r="J21" s="38">
        <v>0.41</v>
      </c>
      <c r="K21" s="38">
        <v>0.1</v>
      </c>
      <c r="L21" s="38">
        <v>0</v>
      </c>
      <c r="M21" s="38">
        <v>-0.23999999999999996</v>
      </c>
      <c r="N21" s="38">
        <v>0</v>
      </c>
      <c r="O21" s="38">
        <v>0.1</v>
      </c>
      <c r="P21" s="37">
        <v>1.33</v>
      </c>
      <c r="Q21" s="61">
        <f t="shared" ref="Q21:Q26" si="25">P21/O21-1</f>
        <v>12.3</v>
      </c>
      <c r="R21" s="61" t="e">
        <f t="shared" ref="R21:R26" si="26">P21/L21-1</f>
        <v>#DIV/0!</v>
      </c>
      <c r="S21" s="4"/>
    </row>
    <row r="22" spans="1:19" x14ac:dyDescent="0.2">
      <c r="A22" s="60" t="s">
        <v>19</v>
      </c>
      <c r="B22" s="60">
        <v>0.31764999999999999</v>
      </c>
      <c r="C22" s="60">
        <v>0.45889999999999997</v>
      </c>
      <c r="D22" s="60">
        <v>0.22414999999999999</v>
      </c>
      <c r="E22" s="38">
        <v>0.56599999999999995</v>
      </c>
      <c r="F22" s="60">
        <v>0.15847</v>
      </c>
      <c r="G22" s="38">
        <v>0.18</v>
      </c>
      <c r="H22" s="38">
        <v>0.19</v>
      </c>
      <c r="I22" s="38">
        <v>0.21153</v>
      </c>
      <c r="J22" s="38">
        <v>0.23</v>
      </c>
      <c r="K22" s="38">
        <v>0.26</v>
      </c>
      <c r="L22" s="38">
        <f>0.82-J22-K22+0.26</f>
        <v>0.59</v>
      </c>
      <c r="M22" s="38">
        <v>3.1500000000000004</v>
      </c>
      <c r="N22" s="38">
        <v>0.4</v>
      </c>
      <c r="O22" s="38">
        <v>0.33</v>
      </c>
      <c r="P22" s="37">
        <v>0.78</v>
      </c>
      <c r="Q22" s="61">
        <f t="shared" si="25"/>
        <v>1.3636363636363638</v>
      </c>
      <c r="R22" s="61">
        <f t="shared" si="26"/>
        <v>0.32203389830508478</v>
      </c>
      <c r="S22" s="4"/>
    </row>
    <row r="23" spans="1:19" x14ac:dyDescent="0.2">
      <c r="A23" s="60" t="s">
        <v>20</v>
      </c>
      <c r="B23" s="60">
        <v>-0.79154999999999998</v>
      </c>
      <c r="C23" s="60">
        <v>1.4777800000000001</v>
      </c>
      <c r="D23" s="60">
        <v>1.22821</v>
      </c>
      <c r="E23" s="38">
        <v>2.0459999999999998</v>
      </c>
      <c r="F23" s="60">
        <v>0.82149000000000005</v>
      </c>
      <c r="G23" s="38">
        <v>1.49</v>
      </c>
      <c r="H23" s="38">
        <v>1.73</v>
      </c>
      <c r="I23" s="38">
        <v>4.6285100000000003</v>
      </c>
      <c r="J23" s="38">
        <v>0.99</v>
      </c>
      <c r="K23" s="38">
        <v>1.73</v>
      </c>
      <c r="L23" s="38">
        <f>4.79-J23-K23</f>
        <v>2.0699999999999998</v>
      </c>
      <c r="M23" s="38">
        <v>0.25</v>
      </c>
      <c r="N23" s="38">
        <v>1.08</v>
      </c>
      <c r="O23" s="38">
        <v>-2.0299999999999998</v>
      </c>
      <c r="P23" s="37">
        <v>1.08</v>
      </c>
      <c r="Q23" s="61">
        <f t="shared" si="25"/>
        <v>-1.5320197044334978</v>
      </c>
      <c r="R23" s="61">
        <f t="shared" si="26"/>
        <v>-0.47826086956521729</v>
      </c>
      <c r="S23" s="4"/>
    </row>
    <row r="24" spans="1:19" x14ac:dyDescent="0.2">
      <c r="A24" s="60" t="s">
        <v>21</v>
      </c>
      <c r="B24" s="60">
        <v>-3.9579999999999997E-2</v>
      </c>
      <c r="C24" s="60">
        <v>-2.2599999999999999E-3</v>
      </c>
      <c r="D24" s="60">
        <v>4.7910000000000001E-2</v>
      </c>
      <c r="E24" s="38">
        <v>0.82199999999999995</v>
      </c>
      <c r="F24" s="60">
        <v>1.49E-3</v>
      </c>
      <c r="G24" s="38">
        <v>0</v>
      </c>
      <c r="H24" s="38">
        <v>0.03</v>
      </c>
      <c r="I24" s="38">
        <v>1.64</v>
      </c>
      <c r="J24" s="38">
        <v>-0.01</v>
      </c>
      <c r="K24" s="38">
        <v>0.2</v>
      </c>
      <c r="L24" s="38">
        <f>-0.11-J24-K24</f>
        <v>-0.30000000000000004</v>
      </c>
      <c r="M24" s="38">
        <v>1.55</v>
      </c>
      <c r="N24" s="38">
        <v>0.01</v>
      </c>
      <c r="O24" s="38">
        <v>-0.13</v>
      </c>
      <c r="P24" s="37">
        <v>-0.62</v>
      </c>
      <c r="Q24" s="61">
        <f t="shared" si="25"/>
        <v>3.7692307692307692</v>
      </c>
      <c r="R24" s="61">
        <f t="shared" si="26"/>
        <v>1.0666666666666664</v>
      </c>
      <c r="S24" s="4"/>
    </row>
    <row r="25" spans="1:19" x14ac:dyDescent="0.2">
      <c r="A25" s="60" t="s">
        <v>22</v>
      </c>
      <c r="B25" s="60">
        <v>-0.72724</v>
      </c>
      <c r="C25" s="60">
        <v>1.25088</v>
      </c>
      <c r="D25" s="60">
        <v>1.2783100000000001</v>
      </c>
      <c r="E25" s="38">
        <v>1.224</v>
      </c>
      <c r="F25" s="60">
        <v>0.84189999999999998</v>
      </c>
      <c r="G25" s="38">
        <v>1.3</v>
      </c>
      <c r="H25" s="38">
        <v>1.7</v>
      </c>
      <c r="I25" s="38">
        <v>3.1581000000000001</v>
      </c>
      <c r="J25" s="38">
        <v>1</v>
      </c>
      <c r="K25" s="38">
        <v>1.53</v>
      </c>
      <c r="L25" s="38">
        <f>L23-L24</f>
        <v>2.37</v>
      </c>
      <c r="M25" s="38">
        <v>-1.3</v>
      </c>
      <c r="N25" s="38">
        <v>1.07</v>
      </c>
      <c r="O25" s="38">
        <v>-1.9</v>
      </c>
      <c r="P25" s="37">
        <v>1.71</v>
      </c>
      <c r="Q25" s="61">
        <f t="shared" si="25"/>
        <v>-1.9</v>
      </c>
      <c r="R25" s="61">
        <f t="shared" si="26"/>
        <v>-0.27848101265822789</v>
      </c>
      <c r="S25" s="4"/>
    </row>
    <row r="26" spans="1:19" s="4" customFormat="1" x14ac:dyDescent="0.2">
      <c r="A26" s="34" t="s">
        <v>26</v>
      </c>
      <c r="B26" s="34">
        <v>-0.73</v>
      </c>
      <c r="C26" s="34">
        <v>1.25088</v>
      </c>
      <c r="D26" s="34">
        <v>1.2783100000000001</v>
      </c>
      <c r="E26" s="35">
        <v>1.224</v>
      </c>
      <c r="F26" s="34">
        <v>0.84189999999999998</v>
      </c>
      <c r="G26" s="35">
        <v>1.3</v>
      </c>
      <c r="H26" s="35">
        <v>2.12</v>
      </c>
      <c r="I26" s="35">
        <v>2.7381000000000002</v>
      </c>
      <c r="J26" s="35">
        <v>1.1399999999999999</v>
      </c>
      <c r="K26" s="35">
        <v>1.43</v>
      </c>
      <c r="L26" s="35">
        <f>5.01-J26-K26</f>
        <v>2.4400000000000004</v>
      </c>
      <c r="M26" s="35">
        <v>-1.4100000000000004</v>
      </c>
      <c r="N26" s="35">
        <v>1.3</v>
      </c>
      <c r="O26" s="35">
        <v>-2.04</v>
      </c>
      <c r="P26" s="45">
        <v>1.1599999999999999</v>
      </c>
      <c r="Q26" s="53">
        <f t="shared" si="25"/>
        <v>-1.5686274509803921</v>
      </c>
      <c r="R26" s="53">
        <f t="shared" si="26"/>
        <v>-0.52459016393442637</v>
      </c>
    </row>
    <row r="27" spans="1:19" s="2" customFormat="1" x14ac:dyDescent="0.2">
      <c r="A27" s="65" t="s">
        <v>86</v>
      </c>
      <c r="B27" s="65">
        <f t="shared" ref="B27:P27" si="27">B26/B2</f>
        <v>-3.3108347748314879E-2</v>
      </c>
      <c r="C27" s="65">
        <f t="shared" si="27"/>
        <v>4.0172820720501698E-2</v>
      </c>
      <c r="D27" s="65">
        <f t="shared" si="27"/>
        <v>3.8277166679392689E-2</v>
      </c>
      <c r="E27" s="66">
        <f t="shared" si="27"/>
        <v>3.5711159737417945E-2</v>
      </c>
      <c r="F27" s="65">
        <f t="shared" si="27"/>
        <v>2.7630447118330452E-2</v>
      </c>
      <c r="G27" s="66">
        <f t="shared" si="27"/>
        <v>3.9027319123386368E-2</v>
      </c>
      <c r="H27" s="66">
        <f t="shared" si="27"/>
        <v>5.4026503567787973E-2</v>
      </c>
      <c r="I27" s="66">
        <f t="shared" si="27"/>
        <v>6.9707247888810553E-2</v>
      </c>
      <c r="J27" s="66">
        <f t="shared" si="27"/>
        <v>3.2571428571428571E-2</v>
      </c>
      <c r="K27" s="66">
        <f t="shared" si="27"/>
        <v>3.4325492078732596E-2</v>
      </c>
      <c r="L27" s="66">
        <f t="shared" si="27"/>
        <v>5.6823474615742907E-2</v>
      </c>
      <c r="M27" s="66">
        <f t="shared" si="27"/>
        <v>-2.7544442273881625E-2</v>
      </c>
      <c r="N27" s="66">
        <f t="shared" ref="N27:O27" si="28">N26/N2</f>
        <v>3.0915576694411417E-2</v>
      </c>
      <c r="O27" s="66">
        <f t="shared" si="28"/>
        <v>-5.0049067713444556E-2</v>
      </c>
      <c r="P27" s="67">
        <f t="shared" si="27"/>
        <v>2.8578467602857843E-2</v>
      </c>
      <c r="Q27" s="62">
        <f>P27-O27</f>
        <v>7.8627535316302399E-2</v>
      </c>
      <c r="R27" s="62">
        <f>P27-L27</f>
        <v>-2.8245007012885064E-2</v>
      </c>
      <c r="S27" s="4"/>
    </row>
    <row r="28" spans="1:19" x14ac:dyDescent="0.2">
      <c r="A28" s="68" t="s">
        <v>23</v>
      </c>
      <c r="B28" s="68">
        <v>-0.727746</v>
      </c>
      <c r="C28" s="68">
        <v>1.25088</v>
      </c>
      <c r="D28" s="68">
        <v>1.2783100000000001</v>
      </c>
      <c r="E28" s="69">
        <v>1.208</v>
      </c>
      <c r="F28" s="68">
        <v>0.84189999999999998</v>
      </c>
      <c r="G28" s="69">
        <v>1.3</v>
      </c>
      <c r="H28" s="69">
        <v>2.12</v>
      </c>
      <c r="I28" s="69">
        <v>2.8281000000000001</v>
      </c>
      <c r="J28" s="69">
        <v>1.1399999999999999</v>
      </c>
      <c r="K28" s="69">
        <v>1.43</v>
      </c>
      <c r="L28" s="69">
        <f>L26</f>
        <v>2.4400000000000004</v>
      </c>
      <c r="M28" s="69">
        <v>-0.85999999999999965</v>
      </c>
      <c r="N28" s="69">
        <v>1.3</v>
      </c>
      <c r="O28" s="69">
        <v>-2.04</v>
      </c>
      <c r="P28" s="70">
        <v>1.1599999999999999</v>
      </c>
      <c r="Q28" s="61">
        <f t="shared" ref="Q28:Q29" si="29">P28/O28-1</f>
        <v>-1.5686274509803921</v>
      </c>
      <c r="R28" s="61">
        <f t="shared" ref="R28:R29" si="30">P28/L28-1</f>
        <v>-0.52459016393442637</v>
      </c>
      <c r="S28" s="4"/>
    </row>
    <row r="29" spans="1:19" x14ac:dyDescent="0.2">
      <c r="A29" s="71" t="s">
        <v>24</v>
      </c>
      <c r="B29" s="71">
        <v>-0.1</v>
      </c>
      <c r="C29" s="71">
        <v>0.17</v>
      </c>
      <c r="D29" s="71">
        <v>0.18</v>
      </c>
      <c r="E29" s="72">
        <v>0.17</v>
      </c>
      <c r="F29" s="71">
        <v>0.12</v>
      </c>
      <c r="G29" s="72">
        <v>0.18</v>
      </c>
      <c r="H29" s="72">
        <v>0.28999999999999998</v>
      </c>
      <c r="I29" s="72">
        <v>0.39999999999999997</v>
      </c>
      <c r="J29" s="72">
        <v>0.16</v>
      </c>
      <c r="K29" s="72">
        <v>0.2</v>
      </c>
      <c r="L29" s="72">
        <v>0.34</v>
      </c>
      <c r="M29" s="72">
        <v>-0.12000000000000011</v>
      </c>
      <c r="N29" s="72">
        <v>0.18</v>
      </c>
      <c r="O29" s="72">
        <v>-0.28000000000000003</v>
      </c>
      <c r="P29" s="73">
        <v>0.16</v>
      </c>
      <c r="Q29" s="74">
        <f t="shared" si="29"/>
        <v>-1.5714285714285714</v>
      </c>
      <c r="R29" s="74">
        <f t="shared" si="30"/>
        <v>-0.52941176470588236</v>
      </c>
      <c r="S29" s="4"/>
    </row>
    <row r="30" spans="1:19" x14ac:dyDescent="0.2">
      <c r="A30" s="42"/>
    </row>
    <row r="33" spans="10:10" x14ac:dyDescent="0.2">
      <c r="J33" s="3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0.5703125" defaultRowHeight="16" x14ac:dyDescent="0.2"/>
  <cols>
    <col min="1" max="1" width="56.5703125" style="1" bestFit="1" customWidth="1"/>
    <col min="2" max="2" width="10.5703125" style="1" customWidth="1"/>
    <col min="3" max="3" width="14.5703125" style="1" customWidth="1"/>
    <col min="4" max="4" width="10.5703125" style="1" customWidth="1"/>
    <col min="5" max="5" width="10.5703125" style="30" customWidth="1"/>
    <col min="6" max="6" width="10.5703125" style="8"/>
    <col min="7" max="7" width="10.5703125" style="1"/>
    <col min="8" max="8" width="10.5703125" style="3"/>
    <col min="9" max="16384" width="10.5703125" style="1"/>
  </cols>
  <sheetData>
    <row r="1" spans="1:8" s="4" customFormat="1" x14ac:dyDescent="0.2">
      <c r="A1" s="6" t="s">
        <v>116</v>
      </c>
      <c r="B1" s="33">
        <v>2014</v>
      </c>
      <c r="C1" s="33">
        <v>2015</v>
      </c>
      <c r="D1" s="33">
        <v>2016</v>
      </c>
      <c r="E1" s="33">
        <v>2017</v>
      </c>
      <c r="F1" s="49">
        <v>2018</v>
      </c>
      <c r="H1" s="5" t="s">
        <v>77</v>
      </c>
    </row>
    <row r="2" spans="1:8" s="4" customFormat="1" x14ac:dyDescent="0.2">
      <c r="A2" s="4" t="s">
        <v>11</v>
      </c>
      <c r="B2" s="29">
        <v>113.88500000000001</v>
      </c>
      <c r="C2" s="29">
        <v>109.581</v>
      </c>
      <c r="D2" s="29">
        <v>120.857</v>
      </c>
      <c r="E2" s="29">
        <v>142.30000000000001</v>
      </c>
      <c r="F2" s="7">
        <v>170.79</v>
      </c>
      <c r="H2" s="5">
        <f>F2/E2-1</f>
        <v>0.20021082220660569</v>
      </c>
    </row>
    <row r="3" spans="1:8" x14ac:dyDescent="0.2">
      <c r="A3" s="1" t="s">
        <v>106</v>
      </c>
      <c r="B3" s="30">
        <v>52.167999999999999</v>
      </c>
      <c r="C3" s="30">
        <v>51.484000000000002</v>
      </c>
      <c r="D3" s="30">
        <v>55.6</v>
      </c>
      <c r="E3" s="30">
        <v>61.96</v>
      </c>
      <c r="F3" s="8">
        <v>81.42</v>
      </c>
      <c r="H3" s="3">
        <f>F3/E3-1</f>
        <v>0.31407359586830208</v>
      </c>
    </row>
    <row r="4" spans="1:8" s="2" customFormat="1" x14ac:dyDescent="0.2">
      <c r="A4" s="2" t="s">
        <v>107</v>
      </c>
      <c r="B4" s="31">
        <f>B3/B2</f>
        <v>0.45807612942880976</v>
      </c>
      <c r="C4" s="31">
        <f>C3/C2</f>
        <v>0.46982597348080418</v>
      </c>
      <c r="D4" s="31">
        <f>D3/D2</f>
        <v>0.46004782511563252</v>
      </c>
      <c r="E4" s="46">
        <f>E3/E2</f>
        <v>0.43541813070976809</v>
      </c>
      <c r="F4" s="47">
        <f>F3/F2</f>
        <v>0.47672580361847888</v>
      </c>
      <c r="H4" s="2">
        <f>F4-E4</f>
        <v>4.1307672908710791E-2</v>
      </c>
    </row>
    <row r="5" spans="1:8" x14ac:dyDescent="0.2">
      <c r="A5" s="1" t="s">
        <v>108</v>
      </c>
      <c r="B5" s="30">
        <v>61.716000000000001</v>
      </c>
      <c r="C5" s="30">
        <v>58.097000000000001</v>
      </c>
      <c r="D5" s="30">
        <v>65.257000000000005</v>
      </c>
      <c r="E5" s="30">
        <v>80.34</v>
      </c>
      <c r="F5" s="8">
        <f>88.03+1.34</f>
        <v>89.37</v>
      </c>
      <c r="H5" s="3">
        <f>F5/E5-1</f>
        <v>0.11239731142643761</v>
      </c>
    </row>
    <row r="6" spans="1:8" s="2" customFormat="1" x14ac:dyDescent="0.2">
      <c r="A6" s="2" t="s">
        <v>109</v>
      </c>
      <c r="B6" s="31">
        <f>B5/B2</f>
        <v>0.54191508978355352</v>
      </c>
      <c r="C6" s="31">
        <f>C5/C2</f>
        <v>0.53017402651919587</v>
      </c>
      <c r="D6" s="31">
        <f>D5/D2</f>
        <v>0.53995217488436753</v>
      </c>
      <c r="E6" s="46">
        <f>E5/E2</f>
        <v>0.56458186929023191</v>
      </c>
      <c r="F6" s="47">
        <f>F5/F2</f>
        <v>0.52327419638152117</v>
      </c>
      <c r="H6" s="2">
        <f>F6-E6</f>
        <v>-4.1307672908710735E-2</v>
      </c>
    </row>
    <row r="7" spans="1:8" x14ac:dyDescent="0.2">
      <c r="A7" s="1" t="s">
        <v>12</v>
      </c>
      <c r="B7" s="30">
        <v>78.638000000000005</v>
      </c>
      <c r="C7" s="30">
        <v>69.656999999999996</v>
      </c>
      <c r="D7" s="30">
        <v>73.626999999999995</v>
      </c>
      <c r="E7" s="30">
        <v>80.44</v>
      </c>
      <c r="F7" s="8">
        <v>100.07</v>
      </c>
      <c r="H7" s="3">
        <f>F7/E7-1</f>
        <v>0.24403281949278965</v>
      </c>
    </row>
    <row r="8" spans="1:8" s="2" customFormat="1" x14ac:dyDescent="0.2">
      <c r="A8" s="2" t="s">
        <v>115</v>
      </c>
      <c r="B8" s="31">
        <f>B7/B2</f>
        <v>0.69050357817096197</v>
      </c>
      <c r="C8" s="31">
        <f>C7/C2</f>
        <v>0.63566676704903213</v>
      </c>
      <c r="D8" s="31">
        <f>D7/D2</f>
        <v>0.60920757589547969</v>
      </c>
      <c r="E8" s="31">
        <f>E7/E2</f>
        <v>0.56528460997891772</v>
      </c>
      <c r="F8" s="9">
        <f>F7/F2</f>
        <v>0.58592423443995545</v>
      </c>
      <c r="H8" s="2">
        <f>F8-E8</f>
        <v>2.0639624461037731E-2</v>
      </c>
    </row>
    <row r="9" spans="1:8" s="4" customFormat="1" x14ac:dyDescent="0.2">
      <c r="A9" s="4" t="s">
        <v>13</v>
      </c>
      <c r="B9" s="29">
        <v>35.246000000000002</v>
      </c>
      <c r="C9" s="29">
        <v>39.923999999999999</v>
      </c>
      <c r="D9" s="29">
        <v>47.23</v>
      </c>
      <c r="E9" s="29">
        <v>61.86</v>
      </c>
      <c r="F9" s="7">
        <v>70.72</v>
      </c>
      <c r="H9" s="5">
        <f>F9/E9-1</f>
        <v>0.14322664080181058</v>
      </c>
    </row>
    <row r="10" spans="1:8" s="2" customFormat="1" x14ac:dyDescent="0.2">
      <c r="A10" s="2" t="s">
        <v>83</v>
      </c>
      <c r="B10" s="31">
        <f>B9/B2</f>
        <v>0.30948764104140142</v>
      </c>
      <c r="C10" s="31">
        <f>C9/C2</f>
        <v>0.36433323295096776</v>
      </c>
      <c r="D10" s="31">
        <f>D9/D2</f>
        <v>0.3907924241045202</v>
      </c>
      <c r="E10" s="31">
        <f>E9/E2</f>
        <v>0.43471539002108217</v>
      </c>
      <c r="F10" s="9">
        <f>F9/F2</f>
        <v>0.4140757655600445</v>
      </c>
      <c r="H10" s="2">
        <f>F10-E10</f>
        <v>-2.0639624461037676E-2</v>
      </c>
    </row>
    <row r="11" spans="1:8" x14ac:dyDescent="0.2">
      <c r="A11" s="1" t="s">
        <v>14</v>
      </c>
      <c r="B11" s="30">
        <v>3.5270000000000001</v>
      </c>
      <c r="C11" s="30">
        <v>1.9239999999999999</v>
      </c>
      <c r="D11" s="30">
        <v>2.077</v>
      </c>
      <c r="E11" s="30">
        <v>3.3</v>
      </c>
      <c r="F11" s="8">
        <v>3.04</v>
      </c>
      <c r="H11" s="3">
        <f>F11/E11-1</f>
        <v>-7.878787878787874E-2</v>
      </c>
    </row>
    <row r="12" spans="1:8" x14ac:dyDescent="0.2">
      <c r="A12" s="1" t="s">
        <v>15</v>
      </c>
      <c r="B12" s="30">
        <v>20.65</v>
      </c>
      <c r="C12" s="30">
        <v>22.696000000000002</v>
      </c>
      <c r="D12" s="30">
        <v>30.015999999999998</v>
      </c>
      <c r="E12" s="30">
        <v>36.229999999999997</v>
      </c>
      <c r="F12" s="8">
        <v>42.97</v>
      </c>
      <c r="H12" s="3">
        <f>F12/E12-1</f>
        <v>0.18603367375103508</v>
      </c>
    </row>
    <row r="13" spans="1:8" s="2" customFormat="1" x14ac:dyDescent="0.2">
      <c r="A13" s="2" t="s">
        <v>80</v>
      </c>
      <c r="B13" s="31">
        <f>B12/B2</f>
        <v>0.18132326469684329</v>
      </c>
      <c r="C13" s="31">
        <f>C12/C2</f>
        <v>0.20711619715096596</v>
      </c>
      <c r="D13" s="31">
        <f>D12/D2</f>
        <v>0.24835963163077024</v>
      </c>
      <c r="E13" s="31">
        <f>E12/E2</f>
        <v>0.25460295151089246</v>
      </c>
      <c r="F13" s="9">
        <f>F12/F2</f>
        <v>0.25159552667017976</v>
      </c>
      <c r="H13" s="2">
        <f>F13-E13</f>
        <v>-3.0074248407127024E-3</v>
      </c>
    </row>
    <row r="14" spans="1:8" x14ac:dyDescent="0.2">
      <c r="A14" s="1" t="s">
        <v>16</v>
      </c>
      <c r="B14" s="30">
        <v>11.872999999999999</v>
      </c>
      <c r="C14" s="30">
        <v>13.265000000000001</v>
      </c>
      <c r="D14" s="30">
        <v>13.116</v>
      </c>
      <c r="E14" s="30">
        <v>19.88</v>
      </c>
      <c r="F14" s="8">
        <v>20.260000000000002</v>
      </c>
      <c r="H14" s="3">
        <f>F14/E14-1</f>
        <v>1.9114688128772706E-2</v>
      </c>
    </row>
    <row r="15" spans="1:8" s="2" customFormat="1" x14ac:dyDescent="0.2">
      <c r="A15" s="2" t="s">
        <v>81</v>
      </c>
      <c r="B15" s="31">
        <f>B14/B2</f>
        <v>0.1042542916099574</v>
      </c>
      <c r="C15" s="31">
        <f>C14/C2</f>
        <v>0.12105200719102764</v>
      </c>
      <c r="D15" s="31">
        <f>D14/D2</f>
        <v>0.10852495097511936</v>
      </c>
      <c r="E15" s="31">
        <f>E14/E2</f>
        <v>0.13970484891075191</v>
      </c>
      <c r="F15" s="9">
        <f>F14/F2</f>
        <v>0.11862521224896072</v>
      </c>
      <c r="H15" s="2">
        <f>F15-E15</f>
        <v>-2.107963666179119E-2</v>
      </c>
    </row>
    <row r="16" spans="1:8" x14ac:dyDescent="0.2">
      <c r="A16" s="1" t="s">
        <v>25</v>
      </c>
      <c r="B16" s="30">
        <v>1.2</v>
      </c>
      <c r="C16" s="30">
        <v>1.1339999999999999</v>
      </c>
      <c r="D16" s="30">
        <v>0.67900000000000005</v>
      </c>
      <c r="E16" s="30">
        <v>1.8</v>
      </c>
      <c r="F16" s="8">
        <v>1.52</v>
      </c>
      <c r="H16" s="3">
        <f>F16/E16-1</f>
        <v>-0.15555555555555556</v>
      </c>
    </row>
    <row r="17" spans="1:8" s="4" customFormat="1" x14ac:dyDescent="0.2">
      <c r="A17" s="4" t="s">
        <v>82</v>
      </c>
      <c r="B17" s="29">
        <v>8.4280000000000008</v>
      </c>
      <c r="C17" s="29">
        <v>8.36</v>
      </c>
      <c r="D17" s="29">
        <v>9.9489999999999998</v>
      </c>
      <c r="E17" s="29">
        <v>12.3</v>
      </c>
      <c r="F17" s="7">
        <f>F19+6.84</f>
        <v>15.85</v>
      </c>
      <c r="H17" s="5">
        <f>F17/E17-1</f>
        <v>0.28861788617886175</v>
      </c>
    </row>
    <row r="18" spans="1:8" s="2" customFormat="1" x14ac:dyDescent="0.2">
      <c r="A18" s="2" t="s">
        <v>84</v>
      </c>
      <c r="B18" s="31">
        <f>B17/B2</f>
        <v>7.4004478201694701E-2</v>
      </c>
      <c r="C18" s="31">
        <f>C17/C2</f>
        <v>7.6290597822615228E-2</v>
      </c>
      <c r="D18" s="31">
        <f>D17/D2</f>
        <v>8.2320428274737914E-2</v>
      </c>
      <c r="E18" s="31">
        <f>E17/E2</f>
        <v>8.6437104708362605E-2</v>
      </c>
      <c r="F18" s="9">
        <f>F17/F2</f>
        <v>9.2804028338895728E-2</v>
      </c>
      <c r="H18" s="2">
        <f>F18-E18</f>
        <v>6.3669236305331223E-3</v>
      </c>
    </row>
    <row r="19" spans="1:8" s="4" customFormat="1" x14ac:dyDescent="0.2">
      <c r="A19" s="4" t="s">
        <v>17</v>
      </c>
      <c r="B19" s="29">
        <v>5.05</v>
      </c>
      <c r="C19" s="29">
        <v>4.7530000000000001</v>
      </c>
      <c r="D19" s="29">
        <v>5.4950000000000001</v>
      </c>
      <c r="E19" s="29">
        <v>7.26</v>
      </c>
      <c r="F19" s="7">
        <v>9.01</v>
      </c>
      <c r="H19" s="5">
        <f>F19/E19-1</f>
        <v>0.24104683195592291</v>
      </c>
    </row>
    <row r="20" spans="1:8" s="2" customFormat="1" x14ac:dyDescent="0.2">
      <c r="A20" s="2" t="s">
        <v>85</v>
      </c>
      <c r="B20" s="31">
        <f>B19/B2</f>
        <v>4.4342977565087587E-2</v>
      </c>
      <c r="C20" s="31">
        <f>C19/C2</f>
        <v>4.3374307589819402E-2</v>
      </c>
      <c r="D20" s="31">
        <f>D19/D2</f>
        <v>4.5466956816733829E-2</v>
      </c>
      <c r="E20" s="31">
        <f>E19/E2</f>
        <v>5.1018973998594515E-2</v>
      </c>
      <c r="F20" s="9">
        <f>F19/F2</f>
        <v>5.2754845131447979E-2</v>
      </c>
      <c r="H20" s="2">
        <f>F20-E20</f>
        <v>1.7358711328534643E-3</v>
      </c>
    </row>
    <row r="21" spans="1:8" x14ac:dyDescent="0.2">
      <c r="A21" s="1" t="s">
        <v>18</v>
      </c>
      <c r="B21" s="30">
        <v>0.23100000000000001</v>
      </c>
      <c r="C21" s="30">
        <v>0.14099999999999999</v>
      </c>
      <c r="D21" s="30">
        <v>3.2000000000000001E-2</v>
      </c>
      <c r="E21" s="30">
        <v>2.15</v>
      </c>
      <c r="F21" s="8">
        <v>0.27</v>
      </c>
      <c r="H21" s="3">
        <f t="shared" ref="H21:H26" si="0">F21/E21-1</f>
        <v>-0.87441860465116283</v>
      </c>
    </row>
    <row r="22" spans="1:8" x14ac:dyDescent="0.2">
      <c r="A22" s="1" t="s">
        <v>19</v>
      </c>
      <c r="B22" s="30">
        <v>1.4119999999999999</v>
      </c>
      <c r="C22" s="30">
        <v>0.752</v>
      </c>
      <c r="D22" s="30">
        <v>1.5669999999999999</v>
      </c>
      <c r="E22" s="30">
        <v>0.75</v>
      </c>
      <c r="F22" s="8">
        <v>4.2300000000000004</v>
      </c>
      <c r="H22" s="3">
        <f t="shared" si="0"/>
        <v>4.6400000000000006</v>
      </c>
    </row>
    <row r="23" spans="1:8" x14ac:dyDescent="0.2">
      <c r="A23" s="1" t="s">
        <v>20</v>
      </c>
      <c r="B23" s="30">
        <v>3.8690000000000002</v>
      </c>
      <c r="C23" s="30">
        <v>4.1429999999999998</v>
      </c>
      <c r="D23" s="30">
        <v>3.9609999999999999</v>
      </c>
      <c r="E23" s="30">
        <v>8.67</v>
      </c>
      <c r="F23" s="8">
        <v>5.04</v>
      </c>
      <c r="H23" s="3">
        <f t="shared" si="0"/>
        <v>-0.41868512110726641</v>
      </c>
    </row>
    <row r="24" spans="1:8" x14ac:dyDescent="0.2">
      <c r="A24" s="1" t="s">
        <v>21</v>
      </c>
      <c r="B24" s="30">
        <v>0.35699999999999998</v>
      </c>
      <c r="C24" s="30">
        <v>1.169</v>
      </c>
      <c r="D24" s="30">
        <v>0.82799999999999996</v>
      </c>
      <c r="E24" s="30">
        <v>1.67</v>
      </c>
      <c r="F24" s="8">
        <v>1.44</v>
      </c>
      <c r="H24" s="3">
        <f t="shared" si="0"/>
        <v>-0.13772455089820357</v>
      </c>
    </row>
    <row r="25" spans="1:8" x14ac:dyDescent="0.2">
      <c r="A25" s="1" t="s">
        <v>22</v>
      </c>
      <c r="B25" s="30">
        <v>3.512</v>
      </c>
      <c r="C25" s="30">
        <v>2.9740000000000002</v>
      </c>
      <c r="D25" s="30">
        <v>3.133</v>
      </c>
      <c r="E25" s="30">
        <v>7</v>
      </c>
      <c r="F25" s="8">
        <v>3.6</v>
      </c>
      <c r="H25" s="3">
        <f t="shared" si="0"/>
        <v>-0.48571428571428565</v>
      </c>
    </row>
    <row r="26" spans="1:8" s="4" customFormat="1" x14ac:dyDescent="0.2">
      <c r="A26" s="4" t="s">
        <v>26</v>
      </c>
      <c r="B26" s="29">
        <v>3.512</v>
      </c>
      <c r="C26" s="29">
        <v>2.9740000000000002</v>
      </c>
      <c r="D26" s="29">
        <v>3.133</v>
      </c>
      <c r="E26" s="29">
        <v>7</v>
      </c>
      <c r="F26" s="7">
        <v>3.6</v>
      </c>
      <c r="H26" s="5">
        <f t="shared" si="0"/>
        <v>-0.48571428571428565</v>
      </c>
    </row>
    <row r="27" spans="1:8" s="2" customFormat="1" x14ac:dyDescent="0.2">
      <c r="A27" s="2" t="s">
        <v>86</v>
      </c>
      <c r="B27" s="31">
        <f>B26/B2</f>
        <v>3.0838126179918338E-2</v>
      </c>
      <c r="C27" s="31">
        <f>C26/C2</f>
        <v>2.7139741378523652E-2</v>
      </c>
      <c r="D27" s="31">
        <f>D26/D2</f>
        <v>2.5923198490778357E-2</v>
      </c>
      <c r="E27" s="31">
        <f>E26/E2</f>
        <v>4.9191848208011237E-2</v>
      </c>
      <c r="F27" s="9">
        <f>F26/F2</f>
        <v>2.1078517477604076E-2</v>
      </c>
      <c r="H27" s="2">
        <f>F27-E27</f>
        <v>-2.8113330730407161E-2</v>
      </c>
    </row>
    <row r="28" spans="1:8" x14ac:dyDescent="0.2">
      <c r="A28" s="1" t="s">
        <v>23</v>
      </c>
      <c r="B28" s="30">
        <v>4</v>
      </c>
      <c r="C28" s="30">
        <v>3.8050000000000002</v>
      </c>
      <c r="D28" s="30">
        <v>3.0089999999999999</v>
      </c>
      <c r="E28" s="30">
        <v>7.09</v>
      </c>
      <c r="F28" s="8">
        <v>4.1500000000000004</v>
      </c>
      <c r="H28" s="3">
        <f>F28/E28-1</f>
        <v>-0.4146685472496473</v>
      </c>
    </row>
    <row r="29" spans="1:8" x14ac:dyDescent="0.2">
      <c r="A29" s="1" t="s">
        <v>24</v>
      </c>
      <c r="B29" s="30">
        <v>0.56000000000000005</v>
      </c>
      <c r="C29" s="30">
        <v>0.53</v>
      </c>
      <c r="D29" s="30">
        <v>0.41</v>
      </c>
      <c r="E29" s="30">
        <v>0.99</v>
      </c>
      <c r="F29" s="8">
        <v>0.57999999999999996</v>
      </c>
      <c r="H29" s="3">
        <f>F29/E29-1</f>
        <v>-0.41414141414141414</v>
      </c>
    </row>
    <row r="30" spans="1:8" x14ac:dyDescent="0.2">
      <c r="B30" s="30"/>
      <c r="C30" s="30"/>
      <c r="D30" s="30"/>
    </row>
    <row r="31" spans="1:8" x14ac:dyDescent="0.2">
      <c r="B31" s="30"/>
      <c r="C31" s="30"/>
      <c r="D31" s="30"/>
    </row>
    <row r="32" spans="1:8" x14ac:dyDescent="0.2">
      <c r="B32" s="30"/>
      <c r="C32" s="41"/>
      <c r="D32" s="30"/>
    </row>
    <row r="33" spans="2:4" x14ac:dyDescent="0.2">
      <c r="B33" s="30"/>
      <c r="C33" s="30"/>
      <c r="D33" s="30"/>
    </row>
    <row r="34" spans="2:4" x14ac:dyDescent="0.2">
      <c r="B34" s="30"/>
      <c r="C34" s="30"/>
      <c r="D34" s="30"/>
    </row>
    <row r="35" spans="2:4" x14ac:dyDescent="0.2">
      <c r="B35" s="30"/>
      <c r="C35" s="30"/>
      <c r="D35" s="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5"/>
  <sheetViews>
    <sheetView zoomScaleNormal="100" workbookViewId="0">
      <pane xSplit="1" ySplit="1" topLeftCell="L2" activePane="bottomRight" state="frozenSplit"/>
      <selection sqref="A1:A1048576"/>
      <selection pane="topRight" activeCell="B1" sqref="B1"/>
      <selection pane="bottomLeft" activeCell="A28" sqref="A28"/>
      <selection pane="bottomRight"/>
    </sheetView>
  </sheetViews>
  <sheetFormatPr baseColWidth="10" defaultColWidth="10.5703125" defaultRowHeight="16" x14ac:dyDescent="0.2"/>
  <cols>
    <col min="1" max="1" width="50.5703125" style="10" bestFit="1" customWidth="1"/>
    <col min="2" max="11" width="10.5703125" style="10"/>
    <col min="12" max="12" width="10.5703125" style="10" customWidth="1"/>
    <col min="13" max="14" width="10.5703125" style="32" customWidth="1"/>
    <col min="15" max="17" width="10.5703125" style="32"/>
    <col min="18" max="18" width="10.5703125" style="10"/>
    <col min="19" max="19" width="11" style="3" bestFit="1" customWidth="1"/>
    <col min="20" max="20" width="15.140625" style="3" bestFit="1" customWidth="1"/>
    <col min="21" max="16384" width="10.5703125" style="10"/>
  </cols>
  <sheetData>
    <row r="1" spans="1:20" s="4" customFormat="1" x14ac:dyDescent="0.2">
      <c r="A1" s="60" t="s">
        <v>119</v>
      </c>
      <c r="B1" s="35" t="s">
        <v>117</v>
      </c>
      <c r="C1" s="35" t="s">
        <v>118</v>
      </c>
      <c r="D1" s="35" t="s">
        <v>27</v>
      </c>
      <c r="E1" s="35" t="s">
        <v>28</v>
      </c>
      <c r="F1" s="35" t="s">
        <v>29</v>
      </c>
      <c r="G1" s="35" t="s">
        <v>30</v>
      </c>
      <c r="H1" s="34" t="s">
        <v>31</v>
      </c>
      <c r="I1" s="34" t="s">
        <v>155</v>
      </c>
      <c r="J1" s="34" t="s">
        <v>154</v>
      </c>
      <c r="K1" s="34" t="s">
        <v>156</v>
      </c>
      <c r="L1" s="34" t="s">
        <v>159</v>
      </c>
      <c r="M1" s="75" t="s">
        <v>162</v>
      </c>
      <c r="N1" s="75" t="s">
        <v>164</v>
      </c>
      <c r="O1" s="75" t="s">
        <v>167</v>
      </c>
      <c r="P1" s="75" t="s">
        <v>170</v>
      </c>
      <c r="Q1" s="75" t="s">
        <v>172</v>
      </c>
      <c r="R1" s="76" t="s">
        <v>174</v>
      </c>
      <c r="S1" s="53" t="s">
        <v>78</v>
      </c>
      <c r="T1" s="53" t="s">
        <v>77</v>
      </c>
    </row>
    <row r="2" spans="1:20" s="56" customFormat="1" x14ac:dyDescent="0.2">
      <c r="A2" s="56" t="s">
        <v>88</v>
      </c>
      <c r="S2" s="12"/>
      <c r="T2" s="12"/>
    </row>
    <row r="3" spans="1:20" s="35" customFormat="1" x14ac:dyDescent="0.2">
      <c r="A3" s="35" t="s">
        <v>32</v>
      </c>
      <c r="B3" s="35">
        <v>40.344999999999999</v>
      </c>
      <c r="C3" s="35">
        <v>47.609000000000002</v>
      </c>
      <c r="D3" s="35">
        <v>47.983919999999998</v>
      </c>
      <c r="E3" s="35">
        <v>47.769829999999999</v>
      </c>
      <c r="F3" s="35">
        <v>49.853200000000001</v>
      </c>
      <c r="G3" s="35">
        <v>49.917999999999999</v>
      </c>
      <c r="H3" s="35">
        <v>49.343420000000002</v>
      </c>
      <c r="I3" s="35">
        <v>49.82</v>
      </c>
      <c r="J3" s="35">
        <v>52.83</v>
      </c>
      <c r="K3" s="35">
        <v>55.41</v>
      </c>
      <c r="L3" s="35">
        <v>59.05</v>
      </c>
      <c r="M3" s="35">
        <v>62.53</v>
      </c>
      <c r="N3" s="35">
        <v>63.92</v>
      </c>
      <c r="O3" s="35">
        <v>64.36</v>
      </c>
      <c r="P3" s="35">
        <v>67.98</v>
      </c>
      <c r="Q3" s="35">
        <v>69.569999999999993</v>
      </c>
      <c r="R3" s="45">
        <v>70.27</v>
      </c>
      <c r="S3" s="51">
        <f>R3/Q3-1</f>
        <v>1.0061808250682702E-2</v>
      </c>
      <c r="T3" s="51">
        <f>R3/N3-1</f>
        <v>9.9342928660825836E-2</v>
      </c>
    </row>
    <row r="4" spans="1:20" s="38" customFormat="1" x14ac:dyDescent="0.2">
      <c r="A4" s="38" t="s">
        <v>33</v>
      </c>
      <c r="B4" s="38">
        <v>27.440999999999999</v>
      </c>
      <c r="C4" s="38">
        <v>33.619999999999997</v>
      </c>
      <c r="D4" s="38">
        <v>33.784880000000001</v>
      </c>
      <c r="E4" s="38">
        <v>33.155149999999999</v>
      </c>
      <c r="F4" s="38">
        <v>34.550370000000001</v>
      </c>
      <c r="G4" s="38">
        <v>34.625</v>
      </c>
      <c r="H4" s="38">
        <v>33.960520000000002</v>
      </c>
      <c r="I4" s="38">
        <v>34.380000000000003</v>
      </c>
      <c r="J4" s="38">
        <v>37.29</v>
      </c>
      <c r="K4" s="38">
        <v>41.24</v>
      </c>
      <c r="L4" s="38">
        <v>44.13</v>
      </c>
      <c r="M4" s="38">
        <v>46.42</v>
      </c>
      <c r="N4" s="38">
        <v>46.38</v>
      </c>
      <c r="O4" s="38">
        <v>47.57</v>
      </c>
      <c r="P4" s="38">
        <v>46.16</v>
      </c>
      <c r="Q4" s="38">
        <v>47.19</v>
      </c>
      <c r="R4" s="37">
        <v>46.75</v>
      </c>
      <c r="S4" s="52">
        <f t="shared" ref="S4:S14" si="0">R4/Q4-1</f>
        <v>-9.3240093240092303E-3</v>
      </c>
      <c r="T4" s="52">
        <f t="shared" ref="T4:T14" si="1">R4/N4-1</f>
        <v>7.9775765416127964E-3</v>
      </c>
    </row>
    <row r="5" spans="1:20" s="38" customFormat="1" x14ac:dyDescent="0.2">
      <c r="A5" s="38" t="s">
        <v>34</v>
      </c>
      <c r="B5" s="38">
        <v>3.6030000000000002</v>
      </c>
      <c r="C5" s="38">
        <v>5.8540000000000001</v>
      </c>
      <c r="D5" s="38">
        <v>6.0702499999999997</v>
      </c>
      <c r="E5" s="38">
        <v>6.4791499999999997</v>
      </c>
      <c r="F5" s="38">
        <v>7.1688599999999996</v>
      </c>
      <c r="G5" s="38">
        <v>7.8710000000000004</v>
      </c>
      <c r="H5" s="38">
        <v>7.95411</v>
      </c>
      <c r="I5" s="38">
        <v>8.02</v>
      </c>
      <c r="J5" s="38">
        <v>8.1300000000000008</v>
      </c>
      <c r="K5" s="38">
        <v>8.5500000000000007</v>
      </c>
      <c r="L5" s="38">
        <v>9.2799999999999994</v>
      </c>
      <c r="M5" s="38">
        <v>10.5</v>
      </c>
      <c r="N5" s="38">
        <v>11.8</v>
      </c>
      <c r="O5" s="38">
        <v>12.83</v>
      </c>
      <c r="P5" s="38">
        <v>13.82</v>
      </c>
      <c r="Q5" s="38">
        <v>14.76</v>
      </c>
      <c r="R5" s="37">
        <v>15.67</v>
      </c>
      <c r="S5" s="52">
        <f t="shared" si="0"/>
        <v>6.1653116531165342E-2</v>
      </c>
      <c r="T5" s="52">
        <f t="shared" si="1"/>
        <v>0.32796610169491514</v>
      </c>
    </row>
    <row r="6" spans="1:20" s="38" customFormat="1" x14ac:dyDescent="0.2">
      <c r="A6" s="38" t="s">
        <v>35</v>
      </c>
      <c r="B6" s="38">
        <v>8.7539999999999996</v>
      </c>
      <c r="C6" s="38">
        <v>7.5990000000000002</v>
      </c>
      <c r="D6" s="38">
        <v>7.5929399999999996</v>
      </c>
      <c r="E6" s="38">
        <v>7.5844500000000004</v>
      </c>
      <c r="F6" s="38">
        <v>7.5839699999999999</v>
      </c>
      <c r="G6" s="38">
        <v>6.875</v>
      </c>
      <c r="H6" s="38">
        <v>6.8742700000000001</v>
      </c>
      <c r="I6" s="38">
        <v>6.87</v>
      </c>
      <c r="J6" s="38">
        <v>6.87</v>
      </c>
      <c r="K6" s="38">
        <v>5.2</v>
      </c>
      <c r="L6" s="38">
        <v>5.21</v>
      </c>
      <c r="M6" s="38">
        <v>5.17</v>
      </c>
      <c r="N6" s="38">
        <v>5.3</v>
      </c>
      <c r="O6" s="38">
        <v>3.93</v>
      </c>
      <c r="P6" s="38">
        <v>3.75</v>
      </c>
      <c r="Q6" s="38">
        <v>4.03</v>
      </c>
      <c r="R6" s="37">
        <v>4.4800000000000004</v>
      </c>
      <c r="S6" s="52">
        <f t="shared" si="0"/>
        <v>0.11166253101736978</v>
      </c>
      <c r="T6" s="52">
        <f t="shared" si="1"/>
        <v>-0.15471698113207533</v>
      </c>
    </row>
    <row r="7" spans="1:20" s="38" customFormat="1" x14ac:dyDescent="0.2">
      <c r="A7" s="38" t="s">
        <v>36</v>
      </c>
      <c r="B7" s="38">
        <v>0.54600000000000004</v>
      </c>
      <c r="C7" s="38">
        <v>0.53500000000000003</v>
      </c>
      <c r="D7" s="38">
        <v>0.53474999999999995</v>
      </c>
      <c r="E7" s="38">
        <v>0.54993000000000003</v>
      </c>
      <c r="F7" s="38">
        <v>0.54888000000000003</v>
      </c>
      <c r="G7" s="38">
        <v>0.53500000000000003</v>
      </c>
      <c r="H7" s="38">
        <v>0.55311999999999995</v>
      </c>
      <c r="I7" s="38">
        <v>0.55000000000000004</v>
      </c>
      <c r="J7" s="38">
        <v>0.54</v>
      </c>
      <c r="K7" s="38">
        <v>0.41</v>
      </c>
      <c r="L7" s="38">
        <v>0.43</v>
      </c>
      <c r="M7" s="38">
        <v>0.44</v>
      </c>
      <c r="N7" s="38">
        <v>0.44</v>
      </c>
      <c r="O7" s="38">
        <v>0.03</v>
      </c>
      <c r="P7" s="38">
        <v>0.03</v>
      </c>
      <c r="Q7" s="38">
        <v>0.04</v>
      </c>
      <c r="R7" s="37">
        <v>0.01</v>
      </c>
      <c r="S7" s="52">
        <f t="shared" si="0"/>
        <v>-0.75</v>
      </c>
      <c r="T7" s="52">
        <f t="shared" si="1"/>
        <v>-0.97727272727272729</v>
      </c>
    </row>
    <row r="8" spans="1:20" s="35" customFormat="1" x14ac:dyDescent="0.2">
      <c r="A8" s="35" t="s">
        <v>37</v>
      </c>
      <c r="B8" s="35">
        <v>52.914000000000001</v>
      </c>
      <c r="C8" s="35">
        <v>50.177999999999997</v>
      </c>
      <c r="D8" s="35">
        <v>44.846519999999998</v>
      </c>
      <c r="E8" s="35">
        <v>47.966360000000002</v>
      </c>
      <c r="F8" s="35">
        <v>51.898180000000004</v>
      </c>
      <c r="G8" s="35">
        <v>57.509</v>
      </c>
      <c r="H8" s="35">
        <v>56.525179999999999</v>
      </c>
      <c r="I8" s="35">
        <v>58.55</v>
      </c>
      <c r="J8" s="35">
        <v>64.260000000000005</v>
      </c>
      <c r="K8" s="35">
        <v>66.55</v>
      </c>
      <c r="L8" s="35">
        <v>62.15</v>
      </c>
      <c r="M8" s="35">
        <v>70.64</v>
      </c>
      <c r="N8" s="35">
        <v>77.540000000000006</v>
      </c>
      <c r="O8" s="35">
        <v>79.47</v>
      </c>
      <c r="P8" s="35">
        <v>72.94</v>
      </c>
      <c r="Q8" s="35">
        <v>73.52</v>
      </c>
      <c r="R8" s="45">
        <v>77.69</v>
      </c>
      <c r="S8" s="51">
        <f t="shared" si="0"/>
        <v>5.6719260065288379E-2</v>
      </c>
      <c r="T8" s="51">
        <f t="shared" si="1"/>
        <v>1.9344854268763534E-3</v>
      </c>
    </row>
    <row r="9" spans="1:20" s="38" customFormat="1" x14ac:dyDescent="0.2">
      <c r="A9" s="38" t="s">
        <v>38</v>
      </c>
      <c r="B9" s="38">
        <v>28.364999999999998</v>
      </c>
      <c r="C9" s="38">
        <v>24.532</v>
      </c>
      <c r="D9" s="38">
        <v>25.388110000000001</v>
      </c>
      <c r="E9" s="38">
        <v>25.32066</v>
      </c>
      <c r="F9" s="38">
        <v>27.43064</v>
      </c>
      <c r="G9" s="38">
        <v>29.832999999999998</v>
      </c>
      <c r="H9" s="38">
        <v>33.137569999999997</v>
      </c>
      <c r="I9" s="38">
        <v>31.48</v>
      </c>
      <c r="J9" s="38">
        <v>32.57</v>
      </c>
      <c r="K9" s="38">
        <v>32.590000000000003</v>
      </c>
      <c r="L9" s="38">
        <v>31.29</v>
      </c>
      <c r="M9" s="38">
        <v>32.61</v>
      </c>
      <c r="N9" s="38">
        <v>39.94</v>
      </c>
      <c r="O9" s="38">
        <v>35.51</v>
      </c>
      <c r="P9" s="38">
        <v>36.67</v>
      </c>
      <c r="Q9" s="38">
        <v>37.880000000000003</v>
      </c>
      <c r="R9" s="37">
        <v>40.450000000000003</v>
      </c>
      <c r="S9" s="52">
        <f t="shared" si="0"/>
        <v>6.7845828933474239E-2</v>
      </c>
      <c r="T9" s="52">
        <f t="shared" si="1"/>
        <v>1.2769153730596061E-2</v>
      </c>
    </row>
    <row r="10" spans="1:20" s="38" customFormat="1" x14ac:dyDescent="0.2">
      <c r="A10" s="38" t="s">
        <v>39</v>
      </c>
      <c r="B10" s="38">
        <v>19.891999999999999</v>
      </c>
      <c r="C10" s="38">
        <v>21.838999999999999</v>
      </c>
      <c r="D10" s="38">
        <v>14.83122</v>
      </c>
      <c r="E10" s="38">
        <v>18.250440000000001</v>
      </c>
      <c r="F10" s="38">
        <v>20.480029999999999</v>
      </c>
      <c r="G10" s="38">
        <v>23.771999999999998</v>
      </c>
      <c r="H10" s="38">
        <v>19.869959999999999</v>
      </c>
      <c r="I10" s="38">
        <v>21.31</v>
      </c>
      <c r="J10" s="38">
        <v>25.6</v>
      </c>
      <c r="K10" s="38">
        <v>28.49</v>
      </c>
      <c r="L10" s="38">
        <v>26.32</v>
      </c>
      <c r="M10" s="38">
        <v>32.799999999999997</v>
      </c>
      <c r="N10" s="38">
        <v>32.19</v>
      </c>
      <c r="O10" s="38">
        <v>34.92</v>
      </c>
      <c r="P10" s="38">
        <v>25.44</v>
      </c>
      <c r="Q10" s="38">
        <v>28.72</v>
      </c>
      <c r="R10" s="37">
        <v>30.01</v>
      </c>
      <c r="S10" s="52">
        <f t="shared" si="0"/>
        <v>4.4916434540390071E-2</v>
      </c>
      <c r="T10" s="52">
        <f t="shared" si="1"/>
        <v>-6.7722895309102138E-2</v>
      </c>
    </row>
    <row r="11" spans="1:20" s="38" customFormat="1" x14ac:dyDescent="0.2">
      <c r="A11" s="38" t="s">
        <v>40</v>
      </c>
      <c r="B11" s="38">
        <v>2.0840000000000001</v>
      </c>
      <c r="C11" s="38">
        <v>1.5980000000000001</v>
      </c>
      <c r="D11" s="38">
        <v>1.6560900000000001</v>
      </c>
      <c r="E11" s="38">
        <v>1.4</v>
      </c>
      <c r="F11" s="38">
        <v>1.6956500000000001</v>
      </c>
      <c r="G11" s="38">
        <v>1.7010000000000001</v>
      </c>
      <c r="H11" s="38">
        <v>1.26711</v>
      </c>
      <c r="I11" s="38">
        <v>1.49</v>
      </c>
      <c r="J11" s="38">
        <v>0.93</v>
      </c>
      <c r="K11" s="38">
        <v>1.3800000000000026</v>
      </c>
      <c r="L11" s="38">
        <v>1.04</v>
      </c>
      <c r="M11" s="38">
        <v>1.81</v>
      </c>
      <c r="N11" s="38">
        <v>1.73</v>
      </c>
      <c r="O11" s="38">
        <v>2.29</v>
      </c>
      <c r="P11" s="38">
        <f>2.29</f>
        <v>2.29</v>
      </c>
      <c r="Q11" s="38">
        <f>0.34+1.37</f>
        <v>1.7100000000000002</v>
      </c>
      <c r="R11" s="37">
        <v>1.66</v>
      </c>
      <c r="S11" s="52">
        <f t="shared" si="0"/>
        <v>-2.923976608187151E-2</v>
      </c>
      <c r="T11" s="52">
        <f t="shared" si="1"/>
        <v>-4.0462427745664775E-2</v>
      </c>
    </row>
    <row r="12" spans="1:20" s="38" customFormat="1" x14ac:dyDescent="0.2">
      <c r="A12" s="38" t="s">
        <v>41</v>
      </c>
      <c r="B12" s="38">
        <v>0.89100000000000001</v>
      </c>
      <c r="C12" s="38">
        <v>1.3260000000000001</v>
      </c>
      <c r="D12" s="38">
        <v>1.75108</v>
      </c>
      <c r="E12" s="38">
        <v>1.7148000000000001</v>
      </c>
      <c r="F12" s="38">
        <v>1.48187</v>
      </c>
      <c r="G12" s="38">
        <v>1.2170000000000001</v>
      </c>
      <c r="H12" s="38">
        <v>1.35164</v>
      </c>
      <c r="I12" s="38">
        <v>1.88</v>
      </c>
      <c r="J12" s="38">
        <v>1.95</v>
      </c>
      <c r="K12" s="38">
        <v>1.47</v>
      </c>
      <c r="L12" s="38">
        <v>2.02</v>
      </c>
      <c r="M12" s="38">
        <v>2.72</v>
      </c>
      <c r="N12" s="38">
        <v>2.14</v>
      </c>
      <c r="O12" s="38">
        <v>1.27</v>
      </c>
      <c r="P12" s="38">
        <v>1.45</v>
      </c>
      <c r="Q12" s="38">
        <v>2</v>
      </c>
      <c r="R12" s="37">
        <v>2.2599999999999998</v>
      </c>
      <c r="S12" s="52">
        <f t="shared" si="0"/>
        <v>0.12999999999999989</v>
      </c>
      <c r="T12" s="52">
        <f t="shared" si="1"/>
        <v>5.6074766355139971E-2</v>
      </c>
    </row>
    <row r="13" spans="1:20" s="38" customFormat="1" x14ac:dyDescent="0.2">
      <c r="A13" s="38" t="s">
        <v>42</v>
      </c>
      <c r="B13" s="38">
        <v>1.6819999999999999</v>
      </c>
      <c r="C13" s="38">
        <v>0.86499999999999999</v>
      </c>
      <c r="D13" s="38">
        <v>1.20242</v>
      </c>
      <c r="E13" s="38">
        <v>1.26284</v>
      </c>
      <c r="F13" s="38">
        <v>0.79237000000000002</v>
      </c>
      <c r="G13" s="38">
        <v>0.98699999999999999</v>
      </c>
      <c r="H13" s="38">
        <v>0.89890000000000003</v>
      </c>
      <c r="I13" s="38">
        <v>2.38</v>
      </c>
      <c r="J13" s="38">
        <v>3.21</v>
      </c>
      <c r="K13" s="38">
        <v>2.62</v>
      </c>
      <c r="L13" s="38">
        <v>1.48</v>
      </c>
      <c r="M13" s="38">
        <v>0.7</v>
      </c>
      <c r="N13" s="38">
        <v>1.54</v>
      </c>
      <c r="O13" s="38">
        <v>5.26</v>
      </c>
      <c r="P13" s="38">
        <v>7.09</v>
      </c>
      <c r="Q13" s="38">
        <v>3.21</v>
      </c>
      <c r="R13" s="37">
        <v>3.31</v>
      </c>
      <c r="S13" s="52">
        <f t="shared" si="0"/>
        <v>3.1152647975077885E-2</v>
      </c>
      <c r="T13" s="52">
        <f t="shared" si="1"/>
        <v>1.1493506493506493</v>
      </c>
    </row>
    <row r="14" spans="1:20" s="35" customFormat="1" x14ac:dyDescent="0.2">
      <c r="A14" s="35" t="s">
        <v>43</v>
      </c>
      <c r="B14" s="35">
        <v>93.259</v>
      </c>
      <c r="C14" s="35">
        <v>97.787999999999997</v>
      </c>
      <c r="D14" s="35">
        <v>92.830439999999996</v>
      </c>
      <c r="E14" s="35">
        <v>95.736189999999993</v>
      </c>
      <c r="F14" s="35">
        <v>101.75138</v>
      </c>
      <c r="G14" s="35">
        <v>107.42700000000001</v>
      </c>
      <c r="H14" s="35">
        <v>105.8686</v>
      </c>
      <c r="I14" s="35">
        <f>I3+I8</f>
        <v>108.37</v>
      </c>
      <c r="J14" s="35">
        <f>J3+J8</f>
        <v>117.09</v>
      </c>
      <c r="K14" s="35">
        <v>121.96</v>
      </c>
      <c r="L14" s="35">
        <v>121.2</v>
      </c>
      <c r="M14" s="35">
        <v>133.16999999999999</v>
      </c>
      <c r="N14" s="35">
        <v>141.46</v>
      </c>
      <c r="O14" s="35">
        <v>143.83000000000001</v>
      </c>
      <c r="P14" s="35">
        <v>140.91999999999999</v>
      </c>
      <c r="Q14" s="35">
        <v>143.09</v>
      </c>
      <c r="R14" s="45">
        <v>147.96</v>
      </c>
      <c r="S14" s="51">
        <f t="shared" si="0"/>
        <v>3.4034523726326205E-2</v>
      </c>
      <c r="T14" s="51">
        <f t="shared" si="1"/>
        <v>4.5949384985154884E-2</v>
      </c>
    </row>
    <row r="15" spans="1:20" s="56" customFormat="1" x14ac:dyDescent="0.2">
      <c r="A15" s="56" t="s">
        <v>87</v>
      </c>
      <c r="S15" s="12"/>
      <c r="T15" s="12"/>
    </row>
    <row r="16" spans="1:20" s="34" customFormat="1" x14ac:dyDescent="0.2">
      <c r="A16" s="34" t="s">
        <v>44</v>
      </c>
      <c r="B16" s="35">
        <v>39.746000000000002</v>
      </c>
      <c r="C16" s="35">
        <v>42.561999999999998</v>
      </c>
      <c r="D16" s="35">
        <v>41.82405</v>
      </c>
      <c r="E16" s="35">
        <v>43.084409999999998</v>
      </c>
      <c r="F16" s="35">
        <v>43.921950000000002</v>
      </c>
      <c r="G16" s="35">
        <v>45.561999999999998</v>
      </c>
      <c r="H16" s="34">
        <v>46.305790000000002</v>
      </c>
      <c r="I16" s="34">
        <v>46.77</v>
      </c>
      <c r="J16" s="34">
        <v>48.63</v>
      </c>
      <c r="K16" s="34">
        <v>51.43</v>
      </c>
      <c r="L16" s="34">
        <v>52.43</v>
      </c>
      <c r="M16" s="35">
        <f>54.21-1.6</f>
        <v>52.61</v>
      </c>
      <c r="N16" s="35">
        <v>54.95</v>
      </c>
      <c r="O16" s="35">
        <v>53.85</v>
      </c>
      <c r="P16" s="35">
        <v>54.75</v>
      </c>
      <c r="Q16" s="35">
        <v>52.61</v>
      </c>
      <c r="R16" s="45">
        <v>52.04</v>
      </c>
      <c r="S16" s="53">
        <f t="shared" ref="S16:S29" si="2">R16/Q16-1</f>
        <v>-1.0834442121269716E-2</v>
      </c>
      <c r="T16" s="53">
        <f t="shared" ref="T16:T29" si="3">R16/N16-1</f>
        <v>-5.2957233848953678E-2</v>
      </c>
    </row>
    <row r="17" spans="1:21" s="38" customFormat="1" x14ac:dyDescent="0.2">
      <c r="A17" s="38" t="s">
        <v>99</v>
      </c>
      <c r="B17" s="38">
        <v>-0.66600000000000004</v>
      </c>
      <c r="C17" s="38">
        <v>-1.552</v>
      </c>
      <c r="D17" s="38">
        <v>-1.5623400000000001</v>
      </c>
      <c r="E17" s="38">
        <v>-1.552</v>
      </c>
      <c r="F17" s="38">
        <v>-1.552</v>
      </c>
      <c r="G17" s="38">
        <v>-1.4690000000000001</v>
      </c>
      <c r="H17" s="38">
        <v>-1.4831799999999999</v>
      </c>
      <c r="I17" s="38">
        <v>-1.06</v>
      </c>
      <c r="J17" s="38">
        <v>-1.69</v>
      </c>
      <c r="K17" s="38">
        <v>-1.54</v>
      </c>
      <c r="L17" s="38">
        <v>-1.67</v>
      </c>
      <c r="M17" s="38">
        <v>-1.6</v>
      </c>
      <c r="N17" s="38">
        <v>-1.65</v>
      </c>
      <c r="O17" s="38">
        <v>-2.06</v>
      </c>
      <c r="P17" s="38">
        <v>-2.0499999999999998</v>
      </c>
      <c r="Q17" s="38">
        <v>-1.64</v>
      </c>
      <c r="R17" s="37">
        <v>-2.25</v>
      </c>
      <c r="S17" s="52">
        <f t="shared" si="2"/>
        <v>0.37195121951219523</v>
      </c>
      <c r="T17" s="52">
        <f t="shared" si="3"/>
        <v>0.36363636363636376</v>
      </c>
    </row>
    <row r="18" spans="1:21" s="35" customFormat="1" x14ac:dyDescent="0.2">
      <c r="A18" s="35" t="s">
        <v>45</v>
      </c>
      <c r="B18" s="35">
        <v>11.294</v>
      </c>
      <c r="C18" s="35">
        <v>14.211</v>
      </c>
      <c r="D18" s="35">
        <v>14.03058</v>
      </c>
      <c r="E18" s="35">
        <v>13.18304</v>
      </c>
      <c r="F18" s="35">
        <v>14.02187</v>
      </c>
      <c r="G18" s="35">
        <v>13.750999999999999</v>
      </c>
      <c r="H18" s="35">
        <v>13.27835</v>
      </c>
      <c r="I18" s="35">
        <v>13.35</v>
      </c>
      <c r="J18" s="35">
        <v>15.47</v>
      </c>
      <c r="K18" s="35">
        <v>14.36</v>
      </c>
      <c r="L18" s="35">
        <v>14.66</v>
      </c>
      <c r="M18" s="35">
        <v>16.48</v>
      </c>
      <c r="N18" s="35">
        <v>16.57</v>
      </c>
      <c r="O18" s="35">
        <v>14.93</v>
      </c>
      <c r="P18" s="35">
        <v>18.25</v>
      </c>
      <c r="Q18" s="35">
        <v>17.41</v>
      </c>
      <c r="R18" s="45">
        <v>16.63</v>
      </c>
      <c r="S18" s="51">
        <f t="shared" si="2"/>
        <v>-4.4801838024124185E-2</v>
      </c>
      <c r="T18" s="51">
        <f t="shared" si="3"/>
        <v>3.6210018105007347E-3</v>
      </c>
    </row>
    <row r="19" spans="1:21" s="38" customFormat="1" x14ac:dyDescent="0.2">
      <c r="A19" s="38" t="s">
        <v>89</v>
      </c>
      <c r="B19" s="38">
        <v>0.92400000000000004</v>
      </c>
      <c r="C19" s="38">
        <v>4.952</v>
      </c>
      <c r="D19" s="38">
        <v>4.8291199999999996</v>
      </c>
      <c r="E19" s="38">
        <v>4.4506300000000003</v>
      </c>
      <c r="F19" s="38">
        <v>4.2205599999999999</v>
      </c>
      <c r="G19" s="38">
        <v>4.149</v>
      </c>
      <c r="H19" s="38">
        <v>3.9385300000000001</v>
      </c>
      <c r="I19" s="38">
        <v>4.18</v>
      </c>
      <c r="J19" s="38">
        <v>4.78</v>
      </c>
      <c r="K19" s="38">
        <v>4.75</v>
      </c>
      <c r="L19" s="38">
        <v>4.47</v>
      </c>
      <c r="M19" s="38">
        <v>4.18</v>
      </c>
      <c r="N19" s="38">
        <v>3.99</v>
      </c>
      <c r="O19" s="38">
        <v>3.78</v>
      </c>
      <c r="P19" s="38">
        <v>3.59</v>
      </c>
      <c r="Q19" s="38">
        <v>3.22</v>
      </c>
      <c r="R19" s="37">
        <v>3.22</v>
      </c>
      <c r="S19" s="52">
        <f t="shared" si="2"/>
        <v>0</v>
      </c>
      <c r="T19" s="52">
        <f t="shared" si="3"/>
        <v>-0.19298245614035092</v>
      </c>
    </row>
    <row r="20" spans="1:21" s="38" customFormat="1" x14ac:dyDescent="0.2">
      <c r="A20" s="38" t="s">
        <v>90</v>
      </c>
      <c r="B20" s="38">
        <v>1.2070000000000001</v>
      </c>
      <c r="C20" s="38">
        <v>1.367</v>
      </c>
      <c r="D20" s="38">
        <v>1.4194</v>
      </c>
      <c r="E20" s="38">
        <v>0.98841999999999997</v>
      </c>
      <c r="F20" s="38">
        <v>1.9958800000000001</v>
      </c>
      <c r="G20" s="38">
        <v>2.4950000000000001</v>
      </c>
      <c r="H20" s="38">
        <v>2.22953</v>
      </c>
      <c r="I20" s="38">
        <v>1.81</v>
      </c>
      <c r="J20" s="38">
        <v>2.36</v>
      </c>
      <c r="K20" s="38">
        <v>3.06</v>
      </c>
      <c r="L20" s="38">
        <f>3.56+0.3+0.79+0.12-0.01</f>
        <v>4.7600000000000007</v>
      </c>
      <c r="M20" s="38">
        <v>5.61</v>
      </c>
      <c r="N20" s="38">
        <v>6.55</v>
      </c>
      <c r="O20" s="38">
        <v>6.07</v>
      </c>
      <c r="P20" s="38">
        <v>9.42</v>
      </c>
      <c r="Q20" s="38">
        <v>8.9700000000000006</v>
      </c>
      <c r="R20" s="37">
        <v>9.7200000000000006</v>
      </c>
      <c r="S20" s="52">
        <f t="shared" si="2"/>
        <v>8.3612040133779209E-2</v>
      </c>
      <c r="T20" s="52">
        <f t="shared" si="3"/>
        <v>0.48396946564885512</v>
      </c>
    </row>
    <row r="21" spans="1:21" s="38" customFormat="1" x14ac:dyDescent="0.2">
      <c r="A21" s="38" t="s">
        <v>91</v>
      </c>
      <c r="B21" s="38">
        <v>8.9380000000000006</v>
      </c>
      <c r="C21" s="38">
        <v>7.6440000000000001</v>
      </c>
      <c r="D21" s="38">
        <v>7.5858400000000001</v>
      </c>
      <c r="E21" s="38">
        <v>7.5584699999999998</v>
      </c>
      <c r="F21" s="38">
        <v>7.7574069999999997</v>
      </c>
      <c r="G21" s="38">
        <v>6.7110000000000003</v>
      </c>
      <c r="H21" s="38">
        <v>6.7125700000000004</v>
      </c>
      <c r="I21" s="38">
        <v>6.97</v>
      </c>
      <c r="J21" s="38">
        <v>6.67</v>
      </c>
      <c r="K21" s="38">
        <v>5.43</v>
      </c>
      <c r="L21" s="38">
        <v>5.43</v>
      </c>
      <c r="M21" s="38">
        <f>5.4+1.17+0.12</f>
        <v>6.69</v>
      </c>
      <c r="N21" s="38">
        <v>6.03</v>
      </c>
      <c r="O21" s="38">
        <v>3.64</v>
      </c>
      <c r="P21" s="38">
        <v>5.24</v>
      </c>
      <c r="Q21" s="38">
        <f>3.66+1.24+0.31+0.01</f>
        <v>5.22</v>
      </c>
      <c r="R21" s="37">
        <v>3.69</v>
      </c>
      <c r="S21" s="52">
        <f t="shared" si="2"/>
        <v>-0.2931034482758621</v>
      </c>
      <c r="T21" s="52">
        <f t="shared" si="3"/>
        <v>-0.38805970149253732</v>
      </c>
    </row>
    <row r="22" spans="1:21" s="35" customFormat="1" x14ac:dyDescent="0.2">
      <c r="A22" s="35" t="s">
        <v>46</v>
      </c>
      <c r="B22" s="35">
        <v>42.219000000000001</v>
      </c>
      <c r="C22" s="35">
        <v>41.014000000000003</v>
      </c>
      <c r="D22" s="35">
        <v>36.975810000000003</v>
      </c>
      <c r="E22" s="35">
        <v>39.468739999999997</v>
      </c>
      <c r="F22" s="35">
        <v>43.807560000000002</v>
      </c>
      <c r="G22" s="35">
        <v>48.09</v>
      </c>
      <c r="H22" s="35">
        <v>46.284460000000003</v>
      </c>
      <c r="I22" s="35">
        <v>48.25</v>
      </c>
      <c r="J22" s="35">
        <v>52.99</v>
      </c>
      <c r="K22" s="35">
        <v>56.17</v>
      </c>
      <c r="L22" s="35">
        <v>54.11</v>
      </c>
      <c r="M22" s="35">
        <v>64.08</v>
      </c>
      <c r="N22" s="35">
        <v>69.94</v>
      </c>
      <c r="O22" s="35">
        <v>75.05</v>
      </c>
      <c r="P22" s="35">
        <v>67.92</v>
      </c>
      <c r="Q22" s="35">
        <v>73.069999999999993</v>
      </c>
      <c r="R22" s="45">
        <v>79.290000000000006</v>
      </c>
      <c r="S22" s="51">
        <f t="shared" si="2"/>
        <v>8.5123853838784846E-2</v>
      </c>
      <c r="T22" s="51">
        <f t="shared" si="3"/>
        <v>0.13368601658564505</v>
      </c>
    </row>
    <row r="23" spans="1:21" s="38" customFormat="1" x14ac:dyDescent="0.2">
      <c r="A23" s="38" t="s">
        <v>92</v>
      </c>
      <c r="B23" s="38">
        <v>11.003</v>
      </c>
      <c r="C23" s="38">
        <v>13.885</v>
      </c>
      <c r="D23" s="38">
        <v>14.427960000000001</v>
      </c>
      <c r="E23" s="38">
        <v>15.008649999999999</v>
      </c>
      <c r="F23" s="38">
        <v>14.36107</v>
      </c>
      <c r="G23" s="38">
        <v>16.079999999999998</v>
      </c>
      <c r="H23" s="38">
        <v>13.48868</v>
      </c>
      <c r="I23" s="38">
        <v>14.02</v>
      </c>
      <c r="J23" s="38">
        <v>18.34</v>
      </c>
      <c r="K23" s="38">
        <v>17.579999999999998</v>
      </c>
      <c r="L23" s="38">
        <v>19.309999999999999</v>
      </c>
      <c r="M23" s="38">
        <v>22.97</v>
      </c>
      <c r="N23" s="38">
        <v>22.94</v>
      </c>
      <c r="O23" s="38">
        <f>24.52-0.8</f>
        <v>23.72</v>
      </c>
      <c r="P23" s="38">
        <v>27.47</v>
      </c>
      <c r="Q23" s="38">
        <v>29.43</v>
      </c>
      <c r="R23" s="37">
        <v>32.31</v>
      </c>
      <c r="S23" s="52">
        <f t="shared" si="2"/>
        <v>9.7859327217125536E-2</v>
      </c>
      <c r="T23" s="52">
        <f t="shared" si="3"/>
        <v>0.40845684394071502</v>
      </c>
      <c r="U23" s="35"/>
    </row>
    <row r="24" spans="1:21" s="38" customFormat="1" x14ac:dyDescent="0.2">
      <c r="A24" s="38" t="s">
        <v>93</v>
      </c>
      <c r="B24" s="38">
        <v>4.7679999999999998</v>
      </c>
      <c r="C24" s="38">
        <v>4.1550000000000002</v>
      </c>
      <c r="D24" s="38">
        <v>4.4484300000000001</v>
      </c>
      <c r="E24" s="38">
        <v>4.59239</v>
      </c>
      <c r="F24" s="38">
        <v>5.8044000000000002</v>
      </c>
      <c r="G24" s="38">
        <v>4.3739999999999997</v>
      </c>
      <c r="H24" s="38">
        <v>6.7157099999999996</v>
      </c>
      <c r="I24" s="38">
        <v>7.23</v>
      </c>
      <c r="J24" s="38">
        <v>5.52</v>
      </c>
      <c r="K24" s="38">
        <v>6.82</v>
      </c>
      <c r="L24" s="38">
        <v>8.7799999999999994</v>
      </c>
      <c r="M24" s="38">
        <v>8.02</v>
      </c>
      <c r="N24" s="38">
        <v>10.26</v>
      </c>
      <c r="O24" s="38">
        <v>9.66</v>
      </c>
      <c r="P24" s="38">
        <v>8.9499999999999993</v>
      </c>
      <c r="Q24" s="38">
        <v>17.14</v>
      </c>
      <c r="R24" s="37">
        <v>18.09</v>
      </c>
      <c r="S24" s="52">
        <f t="shared" si="2"/>
        <v>5.5425904317386143E-2</v>
      </c>
      <c r="T24" s="52">
        <f t="shared" si="3"/>
        <v>0.76315789473684204</v>
      </c>
    </row>
    <row r="25" spans="1:21" s="38" customFormat="1" x14ac:dyDescent="0.2">
      <c r="A25" s="38" t="s">
        <v>94</v>
      </c>
      <c r="B25" s="38">
        <v>21.260999999999999</v>
      </c>
      <c r="C25" s="38">
        <v>17.181000000000001</v>
      </c>
      <c r="D25" s="38">
        <v>12.296720000000001</v>
      </c>
      <c r="E25" s="38">
        <v>14.35238</v>
      </c>
      <c r="F25" s="38">
        <v>15.56607</v>
      </c>
      <c r="G25" s="38">
        <v>21.100999999999999</v>
      </c>
      <c r="H25" s="38">
        <v>19.199719999999999</v>
      </c>
      <c r="I25" s="38">
        <v>16.91</v>
      </c>
      <c r="J25" s="38">
        <v>18.29</v>
      </c>
      <c r="K25" s="38">
        <v>21.29</v>
      </c>
      <c r="L25" s="38">
        <v>14.26</v>
      </c>
      <c r="M25" s="38">
        <f>19.09</f>
        <v>19.09</v>
      </c>
      <c r="N25" s="38">
        <v>22.7</v>
      </c>
      <c r="O25" s="38">
        <v>29.88</v>
      </c>
      <c r="P25" s="38">
        <v>19.13</v>
      </c>
      <c r="Q25" s="38">
        <v>15.21</v>
      </c>
      <c r="R25" s="37">
        <v>17.96</v>
      </c>
      <c r="S25" s="52">
        <f t="shared" si="2"/>
        <v>0.18080210387902684</v>
      </c>
      <c r="T25" s="52">
        <f t="shared" si="3"/>
        <v>-0.20881057268722458</v>
      </c>
    </row>
    <row r="26" spans="1:21" s="38" customFormat="1" x14ac:dyDescent="0.2">
      <c r="A26" s="38" t="s">
        <v>95</v>
      </c>
      <c r="B26" s="38">
        <v>3.3809999999999998</v>
      </c>
      <c r="C26" s="38">
        <v>4.2569999999999997</v>
      </c>
      <c r="D26" s="38">
        <v>4.0276500000000004</v>
      </c>
      <c r="E26" s="38">
        <v>3.6376900000000001</v>
      </c>
      <c r="F26" s="38">
        <v>4.6780499999999998</v>
      </c>
      <c r="G26" s="38">
        <v>4.7350000000000003</v>
      </c>
      <c r="H26" s="38">
        <v>4.51206</v>
      </c>
      <c r="I26" s="38">
        <v>5.75</v>
      </c>
      <c r="J26" s="38">
        <v>5.15</v>
      </c>
      <c r="K26" s="38">
        <v>6.06</v>
      </c>
      <c r="L26" s="38">
        <v>6.24</v>
      </c>
      <c r="M26" s="38">
        <v>7.92</v>
      </c>
      <c r="N26" s="38">
        <v>6.74</v>
      </c>
      <c r="O26" s="38">
        <v>7.25</v>
      </c>
      <c r="P26" s="38">
        <v>7.37</v>
      </c>
      <c r="Q26" s="38">
        <f>7.71</f>
        <v>7.71</v>
      </c>
      <c r="R26" s="37">
        <v>6.45</v>
      </c>
      <c r="S26" s="52">
        <f t="shared" si="2"/>
        <v>-0.16342412451361865</v>
      </c>
      <c r="T26" s="52">
        <f t="shared" si="3"/>
        <v>-4.3026706231453993E-2</v>
      </c>
    </row>
    <row r="27" spans="1:21" s="38" customFormat="1" x14ac:dyDescent="0.2">
      <c r="A27" s="38" t="s">
        <v>110</v>
      </c>
      <c r="B27" s="38">
        <v>0.82699999999999996</v>
      </c>
      <c r="C27" s="38">
        <v>0.92700000000000005</v>
      </c>
      <c r="D27" s="38">
        <v>1.2202</v>
      </c>
      <c r="E27" s="38">
        <v>1.7579800000000001</v>
      </c>
      <c r="F27" s="38">
        <v>2.8669899999999999</v>
      </c>
      <c r="G27" s="38">
        <v>1.1830000000000001</v>
      </c>
      <c r="H27" s="38">
        <v>1.76814</v>
      </c>
      <c r="I27" s="38">
        <v>3.82</v>
      </c>
      <c r="J27" s="38">
        <v>4.7300000000000004</v>
      </c>
      <c r="K27" s="38">
        <v>4.22</v>
      </c>
      <c r="L27" s="38">
        <f>0.46+5.06</f>
        <v>5.52</v>
      </c>
      <c r="M27" s="38">
        <v>6.08</v>
      </c>
      <c r="N27" s="38">
        <v>7.3</v>
      </c>
      <c r="O27" s="38">
        <v>4.22</v>
      </c>
      <c r="P27" s="38">
        <v>5</v>
      </c>
      <c r="Q27" s="38">
        <f>2.67+0.63+0.24+0.04</f>
        <v>3.58</v>
      </c>
      <c r="R27" s="37">
        <v>4.4800000000000004</v>
      </c>
      <c r="S27" s="52">
        <f t="shared" si="2"/>
        <v>0.25139664804469275</v>
      </c>
      <c r="T27" s="52">
        <f t="shared" si="3"/>
        <v>-0.38630136986301367</v>
      </c>
    </row>
    <row r="28" spans="1:21" s="35" customFormat="1" x14ac:dyDescent="0.2">
      <c r="A28" s="35" t="s">
        <v>47</v>
      </c>
      <c r="B28" s="35">
        <v>93.259</v>
      </c>
      <c r="C28" s="35">
        <v>97.787999999999997</v>
      </c>
      <c r="D28" s="35">
        <v>92.830439999999996</v>
      </c>
      <c r="E28" s="35">
        <v>95.736189999999993</v>
      </c>
      <c r="F28" s="35">
        <v>101.75138</v>
      </c>
      <c r="G28" s="35">
        <v>107.42700000000001</v>
      </c>
      <c r="H28" s="35">
        <v>105.8686</v>
      </c>
      <c r="I28" s="35">
        <f>I16+I18+I22</f>
        <v>108.37</v>
      </c>
      <c r="J28" s="35">
        <f>J16+J18+J22</f>
        <v>117.09</v>
      </c>
      <c r="K28" s="35">
        <v>121.96</v>
      </c>
      <c r="L28" s="35">
        <v>121.2</v>
      </c>
      <c r="M28" s="35">
        <v>133.16999999999999</v>
      </c>
      <c r="N28" s="35">
        <v>141.46</v>
      </c>
      <c r="O28" s="35">
        <v>143.83000000000001</v>
      </c>
      <c r="P28" s="35">
        <v>140.91999999999999</v>
      </c>
      <c r="Q28" s="35">
        <v>143.09</v>
      </c>
      <c r="R28" s="45">
        <v>147.96</v>
      </c>
      <c r="S28" s="51">
        <f t="shared" si="2"/>
        <v>3.4034523726326205E-2</v>
      </c>
      <c r="T28" s="51">
        <f t="shared" si="3"/>
        <v>4.5949384985154884E-2</v>
      </c>
    </row>
    <row r="29" spans="1:21" s="38" customFormat="1" x14ac:dyDescent="0.2">
      <c r="A29" s="38" t="s">
        <v>48</v>
      </c>
      <c r="B29" s="38">
        <v>5.52</v>
      </c>
      <c r="C29" s="38">
        <v>5.91</v>
      </c>
      <c r="D29" s="38">
        <v>12.9</v>
      </c>
      <c r="E29" s="38">
        <v>13.3</v>
      </c>
      <c r="F29" s="38">
        <v>14.13</v>
      </c>
      <c r="G29" s="38">
        <v>14.92</v>
      </c>
      <c r="H29" s="38">
        <v>14.71</v>
      </c>
      <c r="I29" s="38">
        <v>15.05</v>
      </c>
      <c r="J29" s="38">
        <v>16.260000000000002</v>
      </c>
      <c r="K29" s="38">
        <v>17.04</v>
      </c>
      <c r="L29" s="38">
        <v>16.84</v>
      </c>
      <c r="M29" s="38">
        <v>18.5</v>
      </c>
      <c r="N29" s="38">
        <v>19.649999999999999</v>
      </c>
      <c r="O29" s="38">
        <v>19.98</v>
      </c>
      <c r="P29" s="38">
        <v>19.579999999999998</v>
      </c>
      <c r="Q29" s="38">
        <v>19.88</v>
      </c>
      <c r="R29" s="37">
        <v>20.55</v>
      </c>
      <c r="S29" s="52">
        <f t="shared" si="2"/>
        <v>3.3702213279678261E-2</v>
      </c>
      <c r="T29" s="52">
        <f t="shared" si="3"/>
        <v>4.5801526717557328E-2</v>
      </c>
    </row>
    <row r="30" spans="1:21" s="32" customFormat="1" x14ac:dyDescent="0.2">
      <c r="L30" s="40"/>
      <c r="R30" s="13"/>
      <c r="S30" s="48"/>
      <c r="T30" s="48"/>
    </row>
    <row r="31" spans="1:21" s="32" customFormat="1" x14ac:dyDescent="0.2">
      <c r="A31" s="50"/>
      <c r="R31" s="13"/>
      <c r="S31" s="41"/>
      <c r="T31" s="48"/>
    </row>
    <row r="32" spans="1:21" x14ac:dyDescent="0.2">
      <c r="R32" s="13"/>
      <c r="S32" s="55"/>
      <c r="T32" s="43"/>
    </row>
    <row r="33" spans="18:20" x14ac:dyDescent="0.2">
      <c r="R33" s="13"/>
      <c r="S33" s="55"/>
      <c r="T33" s="43"/>
    </row>
    <row r="34" spans="18:20" x14ac:dyDescent="0.2">
      <c r="R34" s="13"/>
    </row>
    <row r="35" spans="18:20" x14ac:dyDescent="0.2">
      <c r="R35" s="13"/>
    </row>
    <row r="36" spans="18:20" x14ac:dyDescent="0.2">
      <c r="R36" s="13"/>
    </row>
    <row r="37" spans="18:20" x14ac:dyDescent="0.2">
      <c r="R37" s="13"/>
    </row>
    <row r="38" spans="18:20" x14ac:dyDescent="0.2">
      <c r="R38" s="13"/>
    </row>
    <row r="39" spans="18:20" x14ac:dyDescent="0.2">
      <c r="R39" s="13"/>
    </row>
    <row r="40" spans="18:20" x14ac:dyDescent="0.2">
      <c r="R40" s="13"/>
    </row>
    <row r="41" spans="18:20" x14ac:dyDescent="0.2">
      <c r="R41" s="13"/>
    </row>
    <row r="42" spans="18:20" x14ac:dyDescent="0.2">
      <c r="R42" s="13"/>
    </row>
    <row r="43" spans="18:20" x14ac:dyDescent="0.2">
      <c r="R43" s="13"/>
    </row>
    <row r="44" spans="18:20" x14ac:dyDescent="0.2">
      <c r="R44" s="13"/>
    </row>
    <row r="45" spans="18:20" x14ac:dyDescent="0.2">
      <c r="R45" s="13"/>
    </row>
    <row r="46" spans="18:20" x14ac:dyDescent="0.2">
      <c r="R46" s="13"/>
    </row>
    <row r="47" spans="18:20" x14ac:dyDescent="0.2">
      <c r="R47" s="13"/>
    </row>
    <row r="48" spans="18:20" x14ac:dyDescent="0.2">
      <c r="R48" s="13"/>
    </row>
    <row r="49" spans="18:18" x14ac:dyDescent="0.2">
      <c r="R49" s="13"/>
    </row>
    <row r="50" spans="18:18" x14ac:dyDescent="0.2">
      <c r="R50" s="13"/>
    </row>
    <row r="51" spans="18:18" x14ac:dyDescent="0.2">
      <c r="R51" s="13"/>
    </row>
    <row r="52" spans="18:18" x14ac:dyDescent="0.2">
      <c r="R52" s="13"/>
    </row>
    <row r="53" spans="18:18" x14ac:dyDescent="0.2">
      <c r="R53" s="13"/>
    </row>
    <row r="54" spans="18:18" x14ac:dyDescent="0.2">
      <c r="R54" s="13"/>
    </row>
    <row r="55" spans="18:18" x14ac:dyDescent="0.2">
      <c r="R55" s="13"/>
    </row>
    <row r="56" spans="18:18" x14ac:dyDescent="0.2">
      <c r="R56" s="13"/>
    </row>
    <row r="57" spans="18:18" x14ac:dyDescent="0.2">
      <c r="R57" s="13"/>
    </row>
    <row r="58" spans="18:18" x14ac:dyDescent="0.2">
      <c r="R58" s="13"/>
    </row>
    <row r="59" spans="18:18" x14ac:dyDescent="0.2">
      <c r="R59" s="13"/>
    </row>
    <row r="60" spans="18:18" x14ac:dyDescent="0.2">
      <c r="R60" s="13"/>
    </row>
    <row r="61" spans="18:18" x14ac:dyDescent="0.2">
      <c r="R61" s="13"/>
    </row>
    <row r="62" spans="18:18" x14ac:dyDescent="0.2">
      <c r="R62" s="13"/>
    </row>
    <row r="63" spans="18:18" x14ac:dyDescent="0.2">
      <c r="R63" s="13"/>
    </row>
    <row r="64" spans="18:18" x14ac:dyDescent="0.2">
      <c r="R64" s="13"/>
    </row>
    <row r="65" spans="18:18" x14ac:dyDescent="0.2">
      <c r="R65" s="13"/>
    </row>
    <row r="66" spans="18:18" x14ac:dyDescent="0.2">
      <c r="R66" s="13"/>
    </row>
    <row r="67" spans="18:18" x14ac:dyDescent="0.2">
      <c r="R67" s="13"/>
    </row>
    <row r="68" spans="18:18" x14ac:dyDescent="0.2">
      <c r="R68" s="13"/>
    </row>
    <row r="69" spans="18:18" x14ac:dyDescent="0.2">
      <c r="R69" s="13"/>
    </row>
    <row r="70" spans="18:18" x14ac:dyDescent="0.2">
      <c r="R70" s="13"/>
    </row>
    <row r="71" spans="18:18" x14ac:dyDescent="0.2">
      <c r="R71" s="13"/>
    </row>
    <row r="72" spans="18:18" x14ac:dyDescent="0.2">
      <c r="R72" s="13"/>
    </row>
    <row r="73" spans="18:18" x14ac:dyDescent="0.2">
      <c r="R73" s="13"/>
    </row>
    <row r="74" spans="18:18" x14ac:dyDescent="0.2">
      <c r="R74" s="13"/>
    </row>
    <row r="75" spans="18:18" x14ac:dyDescent="0.2">
      <c r="R75" s="13"/>
    </row>
    <row r="76" spans="18:18" x14ac:dyDescent="0.2">
      <c r="R76" s="13"/>
    </row>
    <row r="77" spans="18:18" x14ac:dyDescent="0.2">
      <c r="R77" s="13"/>
    </row>
    <row r="78" spans="18:18" x14ac:dyDescent="0.2">
      <c r="R78" s="13"/>
    </row>
    <row r="79" spans="18:18" x14ac:dyDescent="0.2">
      <c r="R79" s="13"/>
    </row>
    <row r="80" spans="18:18" x14ac:dyDescent="0.2">
      <c r="R80" s="13"/>
    </row>
    <row r="81" spans="18:18" x14ac:dyDescent="0.2">
      <c r="R81" s="13"/>
    </row>
    <row r="82" spans="18:18" x14ac:dyDescent="0.2">
      <c r="R82" s="13"/>
    </row>
    <row r="83" spans="18:18" x14ac:dyDescent="0.2">
      <c r="R83" s="13"/>
    </row>
    <row r="84" spans="18:18" x14ac:dyDescent="0.2">
      <c r="R84" s="13"/>
    </row>
    <row r="85" spans="18:18" x14ac:dyDescent="0.2">
      <c r="R85" s="13"/>
    </row>
    <row r="86" spans="18:18" x14ac:dyDescent="0.2">
      <c r="R86" s="13"/>
    </row>
    <row r="87" spans="18:18" x14ac:dyDescent="0.2">
      <c r="R87" s="13"/>
    </row>
    <row r="88" spans="18:18" x14ac:dyDescent="0.2">
      <c r="R88" s="13"/>
    </row>
    <row r="89" spans="18:18" x14ac:dyDescent="0.2">
      <c r="R89" s="13"/>
    </row>
    <row r="90" spans="18:18" x14ac:dyDescent="0.2">
      <c r="R90" s="13"/>
    </row>
    <row r="91" spans="18:18" x14ac:dyDescent="0.2">
      <c r="R91" s="13"/>
    </row>
    <row r="92" spans="18:18" x14ac:dyDescent="0.2">
      <c r="R92" s="13"/>
    </row>
    <row r="93" spans="18:18" x14ac:dyDescent="0.2">
      <c r="R93" s="13"/>
    </row>
    <row r="94" spans="18:18" x14ac:dyDescent="0.2">
      <c r="R94" s="13"/>
    </row>
    <row r="95" spans="18:18" x14ac:dyDescent="0.2">
      <c r="R95" s="13"/>
    </row>
    <row r="96" spans="18:18" x14ac:dyDescent="0.2">
      <c r="R96" s="13"/>
    </row>
    <row r="97" spans="18:18" x14ac:dyDescent="0.2">
      <c r="R97" s="13"/>
    </row>
    <row r="98" spans="18:18" x14ac:dyDescent="0.2">
      <c r="R98" s="13"/>
    </row>
    <row r="99" spans="18:18" x14ac:dyDescent="0.2">
      <c r="R99" s="13"/>
    </row>
    <row r="100" spans="18:18" x14ac:dyDescent="0.2">
      <c r="R100" s="13"/>
    </row>
    <row r="101" spans="18:18" x14ac:dyDescent="0.2">
      <c r="R101" s="13"/>
    </row>
    <row r="102" spans="18:18" x14ac:dyDescent="0.2">
      <c r="R102" s="13"/>
    </row>
    <row r="103" spans="18:18" x14ac:dyDescent="0.2">
      <c r="R103" s="13"/>
    </row>
    <row r="104" spans="18:18" x14ac:dyDescent="0.2">
      <c r="R104" s="13"/>
    </row>
    <row r="105" spans="18:18" x14ac:dyDescent="0.2">
      <c r="R105" s="13"/>
    </row>
    <row r="106" spans="18:18" x14ac:dyDescent="0.2">
      <c r="R106" s="13"/>
    </row>
    <row r="107" spans="18:18" x14ac:dyDescent="0.2">
      <c r="R107" s="13"/>
    </row>
    <row r="108" spans="18:18" x14ac:dyDescent="0.2">
      <c r="R108" s="13"/>
    </row>
    <row r="109" spans="18:18" x14ac:dyDescent="0.2">
      <c r="R109" s="13"/>
    </row>
    <row r="110" spans="18:18" x14ac:dyDescent="0.2">
      <c r="R110" s="13"/>
    </row>
    <row r="111" spans="18:18" x14ac:dyDescent="0.2">
      <c r="R111" s="13"/>
    </row>
    <row r="112" spans="18:18" x14ac:dyDescent="0.2">
      <c r="R112" s="13"/>
    </row>
    <row r="113" spans="18:18" x14ac:dyDescent="0.2">
      <c r="R113" s="13"/>
    </row>
    <row r="114" spans="18:18" x14ac:dyDescent="0.2">
      <c r="R114" s="13"/>
    </row>
    <row r="115" spans="18:18" x14ac:dyDescent="0.2">
      <c r="R115" s="13"/>
    </row>
    <row r="116" spans="18:18" x14ac:dyDescent="0.2">
      <c r="R116" s="13"/>
    </row>
    <row r="117" spans="18:18" x14ac:dyDescent="0.2">
      <c r="R117" s="13"/>
    </row>
    <row r="118" spans="18:18" x14ac:dyDescent="0.2">
      <c r="R118" s="13"/>
    </row>
    <row r="119" spans="18:18" x14ac:dyDescent="0.2">
      <c r="R119" s="13"/>
    </row>
    <row r="120" spans="18:18" x14ac:dyDescent="0.2">
      <c r="R120" s="13"/>
    </row>
    <row r="121" spans="18:18" x14ac:dyDescent="0.2">
      <c r="R121" s="13"/>
    </row>
    <row r="122" spans="18:18" x14ac:dyDescent="0.2">
      <c r="R122" s="13"/>
    </row>
    <row r="123" spans="18:18" x14ac:dyDescent="0.2">
      <c r="R123" s="13"/>
    </row>
    <row r="124" spans="18:18" x14ac:dyDescent="0.2">
      <c r="R124" s="13"/>
    </row>
    <row r="125" spans="18:18" x14ac:dyDescent="0.2">
      <c r="R125" s="1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pane xSplit="1" ySplit="1" topLeftCell="J2" activePane="bottomRight" state="frozenSplit"/>
      <selection pane="topRight" activeCell="B1" sqref="B1"/>
      <selection pane="bottomLeft" activeCell="A39" sqref="A39"/>
      <selection pane="bottomRight"/>
    </sheetView>
  </sheetViews>
  <sheetFormatPr baseColWidth="10" defaultColWidth="10.5703125" defaultRowHeight="16" x14ac:dyDescent="0.2"/>
  <cols>
    <col min="1" max="1" width="62.42578125" style="10" bestFit="1" customWidth="1"/>
    <col min="2" max="15" width="10.5703125" style="10"/>
    <col min="16" max="16" width="10.5703125" style="13"/>
    <col min="17" max="18" width="10.5703125" style="3"/>
    <col min="19" max="16384" width="10.5703125" style="10"/>
  </cols>
  <sheetData>
    <row r="1" spans="1:19" s="4" customFormat="1" x14ac:dyDescent="0.2">
      <c r="A1" s="60" t="s">
        <v>119</v>
      </c>
      <c r="B1" s="34" t="s">
        <v>101</v>
      </c>
      <c r="C1" s="34" t="s">
        <v>102</v>
      </c>
      <c r="D1" s="34" t="s">
        <v>103</v>
      </c>
      <c r="E1" s="34" t="s">
        <v>104</v>
      </c>
      <c r="F1" s="34" t="s">
        <v>105</v>
      </c>
      <c r="G1" s="34" t="s">
        <v>151</v>
      </c>
      <c r="H1" s="34" t="s">
        <v>153</v>
      </c>
      <c r="I1" s="34" t="s">
        <v>157</v>
      </c>
      <c r="J1" s="34" t="s">
        <v>158</v>
      </c>
      <c r="K1" s="34" t="s">
        <v>160</v>
      </c>
      <c r="L1" s="34" t="s">
        <v>163</v>
      </c>
      <c r="M1" s="34" t="s">
        <v>165</v>
      </c>
      <c r="N1" s="34" t="s">
        <v>169</v>
      </c>
      <c r="O1" s="34" t="s">
        <v>171</v>
      </c>
      <c r="P1" s="45" t="s">
        <v>173</v>
      </c>
      <c r="Q1" s="53" t="s">
        <v>78</v>
      </c>
      <c r="R1" s="53" t="s">
        <v>77</v>
      </c>
    </row>
    <row r="2" spans="1:19" s="56" customFormat="1" x14ac:dyDescent="0.2">
      <c r="A2" s="56" t="s">
        <v>50</v>
      </c>
      <c r="Q2" s="12"/>
      <c r="R2" s="12"/>
    </row>
    <row r="3" spans="1:19" x14ac:dyDescent="0.2">
      <c r="A3" s="60" t="s">
        <v>20</v>
      </c>
      <c r="B3" s="60">
        <v>-0.79154000000000002</v>
      </c>
      <c r="C3" s="60">
        <v>1.47777</v>
      </c>
      <c r="D3" s="60">
        <v>1.22821</v>
      </c>
      <c r="E3" s="60">
        <v>2.0459999999999998</v>
      </c>
      <c r="F3" s="60">
        <v>0.82</v>
      </c>
      <c r="G3" s="60">
        <v>1.49</v>
      </c>
      <c r="H3" s="60">
        <v>1.73</v>
      </c>
      <c r="I3" s="60">
        <v>4.629999999999999</v>
      </c>
      <c r="J3" s="60">
        <v>0.99</v>
      </c>
      <c r="K3" s="60">
        <v>1.7300000000000002</v>
      </c>
      <c r="L3" s="60">
        <f>4.79-K3-J3</f>
        <v>2.0699999999999994</v>
      </c>
      <c r="M3" s="60">
        <v>0.25</v>
      </c>
      <c r="N3" s="60">
        <v>1.08</v>
      </c>
      <c r="O3" s="60">
        <v>-2.0299999999999998</v>
      </c>
      <c r="P3" s="37">
        <v>1.08</v>
      </c>
      <c r="Q3" s="61">
        <f>P3/O3-1</f>
        <v>-1.5320197044334978</v>
      </c>
      <c r="R3" s="61">
        <f>P3/L3-1</f>
        <v>-0.47826086956521718</v>
      </c>
    </row>
    <row r="4" spans="1:19" x14ac:dyDescent="0.2">
      <c r="A4" s="60" t="s">
        <v>51</v>
      </c>
      <c r="B4" s="60">
        <v>2.38307</v>
      </c>
      <c r="C4" s="60">
        <v>-0.80447999999999997</v>
      </c>
      <c r="D4" s="60">
        <v>1.0454000000000001</v>
      </c>
      <c r="E4" s="60">
        <v>-0.13700000000000001</v>
      </c>
      <c r="F4" s="60">
        <v>2.86</v>
      </c>
      <c r="G4" s="60">
        <v>1.26</v>
      </c>
      <c r="H4" s="60">
        <v>-2.09</v>
      </c>
      <c r="I4" s="60">
        <v>-2.2300000000000004</v>
      </c>
      <c r="J4" s="60">
        <v>-1.19</v>
      </c>
      <c r="K4" s="60">
        <v>-1.96</v>
      </c>
      <c r="L4" s="60">
        <f>-3.28-J4-K4</f>
        <v>-0.12999999999999989</v>
      </c>
      <c r="M4" s="60">
        <v>8.98</v>
      </c>
      <c r="N4" s="60">
        <v>-0.04</v>
      </c>
      <c r="O4" s="60">
        <v>-7.56</v>
      </c>
      <c r="P4" s="37">
        <v>-0.11</v>
      </c>
      <c r="Q4" s="61">
        <f t="shared" ref="Q4:Q13" si="0">P4/O4-1</f>
        <v>-0.98544973544973546</v>
      </c>
      <c r="R4" s="61">
        <f t="shared" ref="R4:R13" si="1">P4/L4-1</f>
        <v>-0.15384615384615319</v>
      </c>
    </row>
    <row r="5" spans="1:19" x14ac:dyDescent="0.2">
      <c r="A5" s="60" t="s">
        <v>52</v>
      </c>
      <c r="B5" s="60">
        <v>1.0294399999999999</v>
      </c>
      <c r="C5" s="60">
        <v>1.00759</v>
      </c>
      <c r="D5" s="60">
        <v>1.12782</v>
      </c>
      <c r="E5" s="60">
        <v>1.2889999999999999</v>
      </c>
      <c r="F5" s="60">
        <v>1.2347699999999999</v>
      </c>
      <c r="G5" s="60">
        <v>1.22</v>
      </c>
      <c r="H5" s="60">
        <v>1.28</v>
      </c>
      <c r="I5" s="60">
        <v>1.2952300000000003</v>
      </c>
      <c r="J5" s="60">
        <v>1.5</v>
      </c>
      <c r="K5" s="60">
        <v>1.6099999999999999</v>
      </c>
      <c r="L5" s="60">
        <f>4.79-J5-K5</f>
        <v>1.6800000000000002</v>
      </c>
      <c r="M5" s="60">
        <v>2.0499999999999998</v>
      </c>
      <c r="N5" s="60">
        <v>1.98</v>
      </c>
      <c r="O5" s="60">
        <v>2.09</v>
      </c>
      <c r="P5" s="37">
        <v>1.99</v>
      </c>
      <c r="Q5" s="61">
        <f t="shared" si="0"/>
        <v>-4.7846889952153027E-2</v>
      </c>
      <c r="R5" s="61">
        <f t="shared" si="1"/>
        <v>0.18452380952380931</v>
      </c>
    </row>
    <row r="6" spans="1:19" x14ac:dyDescent="0.2">
      <c r="A6" s="60" t="s">
        <v>53</v>
      </c>
      <c r="B6" s="60">
        <v>0.25012000000000001</v>
      </c>
      <c r="C6" s="60">
        <v>-0.24448</v>
      </c>
      <c r="D6" s="60">
        <v>0.44131999999999999</v>
      </c>
      <c r="E6" s="60">
        <v>0.78</v>
      </c>
      <c r="F6" s="60">
        <v>-0.21937999999999999</v>
      </c>
      <c r="G6" s="60">
        <v>-0.6</v>
      </c>
      <c r="H6" s="60">
        <v>0.83</v>
      </c>
      <c r="I6" s="60">
        <v>-1.3306200000000001</v>
      </c>
      <c r="J6" s="60">
        <v>-0.03</v>
      </c>
      <c r="K6" s="60">
        <v>-0.37</v>
      </c>
      <c r="L6" s="60">
        <f>-0.28-K6-J6</f>
        <v>0.11999999999999997</v>
      </c>
      <c r="M6" s="60">
        <v>0.26</v>
      </c>
      <c r="N6" s="60">
        <v>0.01</v>
      </c>
      <c r="O6" s="60">
        <v>-0.2</v>
      </c>
      <c r="P6" s="37">
        <v>-2.37</v>
      </c>
      <c r="Q6" s="61">
        <f t="shared" si="0"/>
        <v>10.85</v>
      </c>
      <c r="R6" s="61">
        <f t="shared" si="1"/>
        <v>-20.750000000000007</v>
      </c>
    </row>
    <row r="7" spans="1:19" x14ac:dyDescent="0.2">
      <c r="A7" s="60" t="s">
        <v>54</v>
      </c>
      <c r="B7" s="60">
        <v>0.14813000000000001</v>
      </c>
      <c r="C7" s="60">
        <v>-4.4490000000000002E-2</v>
      </c>
      <c r="D7" s="60">
        <v>0.14371999999999999</v>
      </c>
      <c r="E7" s="60">
        <v>0.372</v>
      </c>
      <c r="F7" s="60">
        <v>0.16689999999999999</v>
      </c>
      <c r="G7" s="60">
        <v>0.18</v>
      </c>
      <c r="H7" s="60">
        <v>0.17</v>
      </c>
      <c r="I7" s="60">
        <v>0.21309999999999993</v>
      </c>
      <c r="J7" s="60">
        <v>0.22</v>
      </c>
      <c r="K7" s="60">
        <v>0.26</v>
      </c>
      <c r="L7" s="60">
        <f>0.78-K7-J7</f>
        <v>0.30000000000000004</v>
      </c>
      <c r="M7" s="60">
        <v>0.37</v>
      </c>
      <c r="N7" s="60">
        <v>0.34</v>
      </c>
      <c r="O7" s="60">
        <v>0.34</v>
      </c>
      <c r="P7" s="37">
        <v>0.49</v>
      </c>
      <c r="Q7" s="61">
        <f t="shared" si="0"/>
        <v>0.44117647058823506</v>
      </c>
      <c r="R7" s="61">
        <f t="shared" si="1"/>
        <v>0.63333333333333308</v>
      </c>
    </row>
    <row r="8" spans="1:19" x14ac:dyDescent="0.2">
      <c r="A8" s="60" t="s">
        <v>55</v>
      </c>
      <c r="B8" s="60">
        <v>0.24176</v>
      </c>
      <c r="C8" s="60">
        <v>0.19389999999999999</v>
      </c>
      <c r="D8" s="60">
        <v>1.4540299999999999</v>
      </c>
      <c r="E8" s="60">
        <v>-1.522</v>
      </c>
      <c r="F8" s="60">
        <v>0.58592</v>
      </c>
      <c r="G8" s="60">
        <v>2.0499999999999998</v>
      </c>
      <c r="H8" s="60">
        <v>2.1800000000000002</v>
      </c>
      <c r="I8" s="60">
        <v>-1.4559200000000003</v>
      </c>
      <c r="J8" s="60">
        <v>1.37</v>
      </c>
      <c r="K8" s="60">
        <v>0.48</v>
      </c>
      <c r="L8" s="60">
        <f>2.26-J8-K8</f>
        <v>0.4099999999999997</v>
      </c>
      <c r="M8" s="60">
        <v>-1.91</v>
      </c>
      <c r="N8" s="60">
        <v>0.63</v>
      </c>
      <c r="O8" s="60">
        <v>-1.37</v>
      </c>
      <c r="P8" s="37">
        <v>1.28</v>
      </c>
      <c r="Q8" s="61">
        <f t="shared" si="0"/>
        <v>-1.9343065693430657</v>
      </c>
      <c r="R8" s="61">
        <f t="shared" si="1"/>
        <v>2.1219512195121975</v>
      </c>
    </row>
    <row r="9" spans="1:19" x14ac:dyDescent="0.2">
      <c r="A9" s="60" t="s">
        <v>56</v>
      </c>
      <c r="B9" s="60">
        <v>-0.85567000000000004</v>
      </c>
      <c r="C9" s="60">
        <v>6.701E-2</v>
      </c>
      <c r="D9" s="60">
        <v>-2.1099800000000002</v>
      </c>
      <c r="E9" s="60">
        <v>-2.4020000000000001</v>
      </c>
      <c r="F9" s="60">
        <v>-3.3047300000000002</v>
      </c>
      <c r="G9" s="60">
        <v>1.65</v>
      </c>
      <c r="H9" s="60">
        <v>-1.08</v>
      </c>
      <c r="I9" s="60">
        <v>-2.526999999999946E-2</v>
      </c>
      <c r="J9" s="60">
        <v>1.3</v>
      </c>
      <c r="K9" s="60">
        <v>-1.32</v>
      </c>
      <c r="L9" s="60">
        <f>-7.35-K9-J9</f>
        <v>-7.3299999999999992</v>
      </c>
      <c r="M9" s="60">
        <v>3.81</v>
      </c>
      <c r="N9" s="60">
        <v>-1.04</v>
      </c>
      <c r="O9" s="60">
        <v>-0.32</v>
      </c>
      <c r="P9" s="37">
        <v>-3.6</v>
      </c>
      <c r="Q9" s="61">
        <f t="shared" si="0"/>
        <v>10.25</v>
      </c>
      <c r="R9" s="61">
        <f t="shared" si="1"/>
        <v>-0.50886766712141873</v>
      </c>
    </row>
    <row r="10" spans="1:19" x14ac:dyDescent="0.2">
      <c r="A10" s="60" t="s">
        <v>57</v>
      </c>
      <c r="B10" s="60">
        <v>6.9498600000000001</v>
      </c>
      <c r="C10" s="60">
        <v>-3.1633</v>
      </c>
      <c r="D10" s="60">
        <v>-2.5252400000000002</v>
      </c>
      <c r="E10" s="60">
        <v>-3.2970000000000002</v>
      </c>
      <c r="F10" s="60">
        <v>4.3353599999999997</v>
      </c>
      <c r="G10" s="60">
        <v>-1.67</v>
      </c>
      <c r="H10" s="60">
        <v>-3.73</v>
      </c>
      <c r="I10" s="60">
        <v>-3.2053599999999993</v>
      </c>
      <c r="J10" s="60">
        <v>2.5</v>
      </c>
      <c r="K10" s="60">
        <v>-7.26</v>
      </c>
      <c r="L10" s="60">
        <f>-4.08-J10-K10</f>
        <v>0.67999999999999972</v>
      </c>
      <c r="M10" s="60">
        <v>-2.87</v>
      </c>
      <c r="N10" s="60">
        <v>9.4600000000000009</v>
      </c>
      <c r="O10" s="60">
        <v>-2.61</v>
      </c>
      <c r="P10" s="37">
        <v>-1.01</v>
      </c>
      <c r="Q10" s="61">
        <f t="shared" si="0"/>
        <v>-0.6130268199233716</v>
      </c>
      <c r="R10" s="61">
        <f t="shared" si="1"/>
        <v>-2.4852941176470598</v>
      </c>
    </row>
    <row r="11" spans="1:19" x14ac:dyDescent="0.2">
      <c r="A11" s="60" t="s">
        <v>58</v>
      </c>
      <c r="B11" s="60">
        <v>-4.83596</v>
      </c>
      <c r="C11" s="60">
        <v>1.3700300000000001</v>
      </c>
      <c r="D11" s="60">
        <v>2.2540499999999999</v>
      </c>
      <c r="E11" s="60">
        <v>5.9459999999999997</v>
      </c>
      <c r="F11" s="60">
        <v>0.20008999999999999</v>
      </c>
      <c r="G11" s="60">
        <v>-1.21</v>
      </c>
      <c r="H11" s="60">
        <v>-1.35</v>
      </c>
      <c r="I11" s="60">
        <v>3.8599100000000002</v>
      </c>
      <c r="J11" s="60">
        <v>-6.85</v>
      </c>
      <c r="K11" s="60">
        <v>5.5299999999999994</v>
      </c>
      <c r="L11" s="60">
        <f>2.14-K11-J11</f>
        <v>3.4600000000000004</v>
      </c>
      <c r="M11" s="60">
        <v>7.86</v>
      </c>
      <c r="N11" s="60">
        <v>-11.4</v>
      </c>
      <c r="O11" s="60">
        <v>-3.55</v>
      </c>
      <c r="P11" s="37">
        <v>2.0099999999999998</v>
      </c>
      <c r="Q11" s="61">
        <f t="shared" si="0"/>
        <v>-1.5661971830985917</v>
      </c>
      <c r="R11" s="61">
        <f t="shared" si="1"/>
        <v>-0.41907514450867067</v>
      </c>
    </row>
    <row r="12" spans="1:19" x14ac:dyDescent="0.2">
      <c r="A12" s="60" t="s">
        <v>59</v>
      </c>
      <c r="B12" s="60">
        <v>-0.52107000000000003</v>
      </c>
      <c r="C12" s="60">
        <v>9.2300000000000004E-3</v>
      </c>
      <c r="D12" s="60">
        <v>0.25968000000000002</v>
      </c>
      <c r="E12" s="60">
        <v>-1.302</v>
      </c>
      <c r="F12" s="60">
        <v>-0.13431000000000001</v>
      </c>
      <c r="G12" s="60">
        <v>-0.35</v>
      </c>
      <c r="H12" s="60">
        <v>-0.33</v>
      </c>
      <c r="I12" s="60">
        <v>-1.5356899999999998</v>
      </c>
      <c r="J12" s="60">
        <v>-0.54</v>
      </c>
      <c r="K12" s="60">
        <v>-0.75</v>
      </c>
      <c r="L12" s="60">
        <f>-0.92-J12-K12</f>
        <v>0.37</v>
      </c>
      <c r="M12" s="60">
        <v>-0.63</v>
      </c>
      <c r="N12" s="60">
        <v>-0.09</v>
      </c>
      <c r="O12" s="60">
        <v>-0.59</v>
      </c>
      <c r="P12" s="37">
        <v>-0.33</v>
      </c>
      <c r="Q12" s="61">
        <f t="shared" si="0"/>
        <v>-0.44067796610169485</v>
      </c>
      <c r="R12" s="61">
        <f t="shared" si="1"/>
        <v>-1.8918918918918921</v>
      </c>
    </row>
    <row r="13" spans="1:19" s="4" customFormat="1" x14ac:dyDescent="0.2">
      <c r="A13" s="34" t="s">
        <v>60</v>
      </c>
      <c r="B13" s="34">
        <v>1.5915299999999999</v>
      </c>
      <c r="C13" s="34">
        <v>0.67329000000000006</v>
      </c>
      <c r="D13" s="34">
        <v>2.2736100000000001</v>
      </c>
      <c r="E13" s="34">
        <v>1.91</v>
      </c>
      <c r="F13" s="34">
        <v>3.6861100000000002</v>
      </c>
      <c r="G13" s="34">
        <v>2.73</v>
      </c>
      <c r="H13" s="34">
        <v>-0.36</v>
      </c>
      <c r="I13" s="34">
        <v>2.4138900000000003</v>
      </c>
      <c r="J13" s="34">
        <v>-0.2</v>
      </c>
      <c r="K13" s="34">
        <v>-0.22999999999999998</v>
      </c>
      <c r="L13" s="34">
        <f>1.5-J13-K13</f>
        <v>1.93</v>
      </c>
      <c r="M13" s="34">
        <v>9.24</v>
      </c>
      <c r="N13" s="34">
        <v>1.0409999999999999</v>
      </c>
      <c r="O13" s="34">
        <v>-9.5500000000000007</v>
      </c>
      <c r="P13" s="45">
        <v>0.93</v>
      </c>
      <c r="Q13" s="53">
        <f t="shared" si="0"/>
        <v>-1.0973821989528796</v>
      </c>
      <c r="R13" s="53">
        <f t="shared" si="1"/>
        <v>-0.51813471502590669</v>
      </c>
      <c r="S13" s="10"/>
    </row>
    <row r="14" spans="1:19" s="56" customFormat="1" x14ac:dyDescent="0.2">
      <c r="A14" s="56" t="s">
        <v>61</v>
      </c>
      <c r="Q14" s="12"/>
      <c r="R14" s="12"/>
    </row>
    <row r="15" spans="1:19" x14ac:dyDescent="0.2">
      <c r="A15" s="60" t="s">
        <v>62</v>
      </c>
      <c r="B15" s="60">
        <v>1.15E-3</v>
      </c>
      <c r="C15" s="60">
        <v>3.0000000000000001E-5</v>
      </c>
      <c r="D15" s="60">
        <v>0</v>
      </c>
      <c r="E15" s="60">
        <v>1.72</v>
      </c>
      <c r="F15" s="60">
        <v>0</v>
      </c>
      <c r="G15" s="60">
        <v>0.02</v>
      </c>
      <c r="H15" s="60">
        <v>0.43</v>
      </c>
      <c r="I15" s="60">
        <v>1.7500000000000002</v>
      </c>
      <c r="J15" s="60">
        <v>1.42</v>
      </c>
      <c r="K15" s="60">
        <v>2.23</v>
      </c>
      <c r="L15" s="60">
        <f>5.3-K15-J15</f>
        <v>1.65</v>
      </c>
      <c r="M15" s="60">
        <v>1.53</v>
      </c>
      <c r="N15" s="60">
        <v>1.9</v>
      </c>
      <c r="O15" s="60">
        <v>0.1</v>
      </c>
      <c r="P15" s="37">
        <v>0.14000000000000001</v>
      </c>
      <c r="Q15" s="61">
        <f t="shared" ref="Q15:Q19" si="2">P15/O15-1</f>
        <v>0.40000000000000013</v>
      </c>
      <c r="R15" s="61">
        <f t="shared" ref="R15:R19" si="3">P15/L15-1</f>
        <v>-0.91515151515151516</v>
      </c>
    </row>
    <row r="16" spans="1:19" x14ac:dyDescent="0.2">
      <c r="A16" s="60" t="s">
        <v>71</v>
      </c>
      <c r="B16" s="60">
        <v>1.15E-3</v>
      </c>
      <c r="C16" s="60">
        <v>3.0000000000000001E-5</v>
      </c>
      <c r="D16" s="60">
        <v>0</v>
      </c>
      <c r="E16" s="60">
        <v>1.72</v>
      </c>
      <c r="F16" s="60">
        <v>0</v>
      </c>
      <c r="G16" s="60">
        <v>0.02</v>
      </c>
      <c r="H16" s="60">
        <v>0.02</v>
      </c>
      <c r="I16" s="60">
        <v>1.29</v>
      </c>
      <c r="J16" s="60">
        <v>1.42</v>
      </c>
      <c r="K16" s="60">
        <v>2.2200000000000002</v>
      </c>
      <c r="L16" s="60">
        <f>4.93-K16-J16</f>
        <v>1.2899999999999996</v>
      </c>
      <c r="M16" s="60">
        <v>1.28</v>
      </c>
      <c r="N16" s="60">
        <v>1.9</v>
      </c>
      <c r="O16" s="60">
        <v>0.1</v>
      </c>
      <c r="P16" s="37">
        <v>0.14000000000000001</v>
      </c>
      <c r="Q16" s="61">
        <f t="shared" si="2"/>
        <v>0.40000000000000013</v>
      </c>
      <c r="R16" s="61">
        <f t="shared" si="3"/>
        <v>-0.89147286821705418</v>
      </c>
    </row>
    <row r="17" spans="1:19" x14ac:dyDescent="0.2">
      <c r="A17" s="60" t="s">
        <v>63</v>
      </c>
      <c r="B17" s="60">
        <v>0.75741999999999998</v>
      </c>
      <c r="C17" s="60">
        <v>0.32103999999999999</v>
      </c>
      <c r="D17" s="60">
        <v>2.87181</v>
      </c>
      <c r="E17" s="60">
        <v>3.6339999999999999</v>
      </c>
      <c r="F17" s="60">
        <v>0.40576000000000001</v>
      </c>
      <c r="G17" s="60">
        <v>1.53</v>
      </c>
      <c r="H17" s="60">
        <v>3.16</v>
      </c>
      <c r="I17" s="60">
        <v>5.604239999999999</v>
      </c>
      <c r="J17" s="60">
        <v>3.5</v>
      </c>
      <c r="K17" s="60">
        <v>4.43</v>
      </c>
      <c r="L17" s="60">
        <f>10.67-K17-J17</f>
        <v>2.74</v>
      </c>
      <c r="M17" s="60">
        <v>5.04</v>
      </c>
      <c r="N17" s="60">
        <v>1.92</v>
      </c>
      <c r="O17" s="60">
        <v>2.02</v>
      </c>
      <c r="P17" s="37">
        <v>2.2400000000000002</v>
      </c>
      <c r="Q17" s="61">
        <f t="shared" si="2"/>
        <v>0.10891089108910901</v>
      </c>
      <c r="R17" s="61">
        <f t="shared" si="3"/>
        <v>-0.18248175182481752</v>
      </c>
    </row>
    <row r="18" spans="1:19" x14ac:dyDescent="0.2">
      <c r="A18" s="60" t="s">
        <v>64</v>
      </c>
      <c r="B18" s="60">
        <v>0.75741999999999998</v>
      </c>
      <c r="C18" s="60">
        <v>0.32103999999999999</v>
      </c>
      <c r="D18" s="60">
        <v>2.87181</v>
      </c>
      <c r="E18" s="60">
        <v>3.6339999999999999</v>
      </c>
      <c r="F18" s="60">
        <v>0.40576000000000001</v>
      </c>
      <c r="G18" s="60">
        <v>1.53</v>
      </c>
      <c r="H18" s="60">
        <v>3.16</v>
      </c>
      <c r="I18" s="60">
        <v>5.604239999999999</v>
      </c>
      <c r="J18" s="60">
        <v>3.5</v>
      </c>
      <c r="K18" s="60">
        <v>4.43</v>
      </c>
      <c r="L18" s="60">
        <f>10.59-J18-K18</f>
        <v>2.66</v>
      </c>
      <c r="M18" s="60">
        <v>5.04</v>
      </c>
      <c r="N18" s="60">
        <v>1.92</v>
      </c>
      <c r="O18" s="60">
        <v>2.02</v>
      </c>
      <c r="P18" s="37">
        <v>2.2400000000000002</v>
      </c>
      <c r="Q18" s="61">
        <f t="shared" si="2"/>
        <v>0.10891089108910901</v>
      </c>
      <c r="R18" s="61">
        <f t="shared" si="3"/>
        <v>-0.1578947368421052</v>
      </c>
    </row>
    <row r="19" spans="1:19" s="4" customFormat="1" x14ac:dyDescent="0.2">
      <c r="A19" s="34" t="s">
        <v>65</v>
      </c>
      <c r="B19" s="34">
        <v>-0.75627</v>
      </c>
      <c r="C19" s="34">
        <v>-0.32101000000000002</v>
      </c>
      <c r="D19" s="34">
        <v>-2.87181</v>
      </c>
      <c r="E19" s="34">
        <v>-1.915</v>
      </c>
      <c r="F19" s="34">
        <v>-0.40576000000000001</v>
      </c>
      <c r="G19" s="34">
        <v>-1.51</v>
      </c>
      <c r="H19" s="34">
        <v>-2.73</v>
      </c>
      <c r="I19" s="34">
        <v>-3.8542399999999994</v>
      </c>
      <c r="J19" s="34">
        <v>-2.08</v>
      </c>
      <c r="K19" s="34">
        <v>-2.2000000000000002</v>
      </c>
      <c r="L19" s="34">
        <f>-5.37-K19-J19</f>
        <v>-1.0899999999999999</v>
      </c>
      <c r="M19" s="34">
        <v>-3.51</v>
      </c>
      <c r="N19" s="34">
        <v>-0.02</v>
      </c>
      <c r="O19" s="34">
        <v>-1.92</v>
      </c>
      <c r="P19" s="45">
        <v>-2.1</v>
      </c>
      <c r="Q19" s="53">
        <f t="shared" si="2"/>
        <v>9.375E-2</v>
      </c>
      <c r="R19" s="53">
        <f t="shared" si="3"/>
        <v>0.9266055045871564</v>
      </c>
      <c r="S19" s="10"/>
    </row>
    <row r="20" spans="1:19" s="56" customFormat="1" x14ac:dyDescent="0.2">
      <c r="A20" s="56" t="s">
        <v>66</v>
      </c>
      <c r="Q20" s="12"/>
      <c r="R20" s="12"/>
    </row>
    <row r="21" spans="1:19" x14ac:dyDescent="0.2">
      <c r="A21" s="60" t="s">
        <v>62</v>
      </c>
      <c r="B21" s="60">
        <v>0.77386999999999995</v>
      </c>
      <c r="C21" s="60">
        <v>1.6880299999999999</v>
      </c>
      <c r="D21" s="60">
        <v>7.9430000000000001E-2</v>
      </c>
      <c r="E21" s="60">
        <v>0.316</v>
      </c>
      <c r="F21" s="60">
        <v>0.38113999999999998</v>
      </c>
      <c r="G21" s="60">
        <v>1.76</v>
      </c>
      <c r="H21" s="60">
        <v>4.93</v>
      </c>
      <c r="I21" s="60">
        <v>-1.1711399999999994</v>
      </c>
      <c r="J21" s="60">
        <v>2.96</v>
      </c>
      <c r="K21" s="60">
        <v>4.93</v>
      </c>
      <c r="L21" s="60">
        <f>12.11-K21-J21</f>
        <v>4.22</v>
      </c>
      <c r="M21" s="60">
        <v>0.28000000000000003</v>
      </c>
      <c r="N21" s="60">
        <v>7.29</v>
      </c>
      <c r="O21" s="60">
        <v>8.76</v>
      </c>
      <c r="P21" s="37">
        <v>4.05</v>
      </c>
      <c r="Q21" s="61">
        <f t="shared" ref="Q21:Q23" si="4">P21/O21-1</f>
        <v>-0.53767123287671237</v>
      </c>
      <c r="R21" s="61">
        <f t="shared" ref="R21:R23" si="5">P21/L21-1</f>
        <v>-4.0284360189573487E-2</v>
      </c>
    </row>
    <row r="22" spans="1:19" x14ac:dyDescent="0.2">
      <c r="A22" s="60" t="s">
        <v>63</v>
      </c>
      <c r="B22" s="60">
        <v>1.2719499999999999</v>
      </c>
      <c r="C22" s="60">
        <v>1.9796499999999999</v>
      </c>
      <c r="D22" s="60">
        <v>-4.8059999999999999E-2</v>
      </c>
      <c r="E22" s="60">
        <v>0</v>
      </c>
      <c r="F22" s="60">
        <v>3.7493599999999998</v>
      </c>
      <c r="G22" s="60">
        <v>1.48</v>
      </c>
      <c r="H22" s="60">
        <v>-1.01</v>
      </c>
      <c r="I22" s="60">
        <v>1.0640000000000649E-2</v>
      </c>
      <c r="J22" s="60">
        <v>1.83</v>
      </c>
      <c r="K22" s="60">
        <v>3.2699999999999996</v>
      </c>
      <c r="L22" s="60">
        <f>9.4-K22-J22</f>
        <v>4.3000000000000007</v>
      </c>
      <c r="M22" s="60">
        <v>2.2200000000000002</v>
      </c>
      <c r="N22" s="60">
        <v>6.48</v>
      </c>
      <c r="O22" s="60">
        <v>1.18</v>
      </c>
      <c r="P22" s="37">
        <v>2.77</v>
      </c>
      <c r="Q22" s="61">
        <f t="shared" si="4"/>
        <v>1.347457627118644</v>
      </c>
      <c r="R22" s="61">
        <f t="shared" si="5"/>
        <v>-0.35581395348837219</v>
      </c>
    </row>
    <row r="23" spans="1:19" s="4" customFormat="1" x14ac:dyDescent="0.2">
      <c r="A23" s="34" t="s">
        <v>67</v>
      </c>
      <c r="B23" s="34">
        <v>-0.49808000000000002</v>
      </c>
      <c r="C23" s="34">
        <v>-0.29161999999999999</v>
      </c>
      <c r="D23" s="34">
        <v>0.12748999999999999</v>
      </c>
      <c r="E23" s="34">
        <v>0.316</v>
      </c>
      <c r="F23" s="34">
        <v>-3.36822</v>
      </c>
      <c r="G23" s="34">
        <v>0.26</v>
      </c>
      <c r="H23" s="34">
        <v>3.92</v>
      </c>
      <c r="I23" s="34">
        <v>0.8582200000000002</v>
      </c>
      <c r="J23" s="34">
        <v>1.1299999999999999</v>
      </c>
      <c r="K23" s="34">
        <v>1.6600000000000001</v>
      </c>
      <c r="L23" s="34">
        <f>2.71-K23-J23</f>
        <v>-8.0000000000000071E-2</v>
      </c>
      <c r="M23" s="34">
        <v>-1.94</v>
      </c>
      <c r="N23" s="34">
        <f>N21-N22</f>
        <v>0.80999999999999961</v>
      </c>
      <c r="O23" s="34">
        <v>7.59</v>
      </c>
      <c r="P23" s="45">
        <v>1.27</v>
      </c>
      <c r="Q23" s="53">
        <f t="shared" si="4"/>
        <v>-0.83267457180500659</v>
      </c>
      <c r="R23" s="53">
        <f t="shared" si="5"/>
        <v>-16.874999999999986</v>
      </c>
      <c r="S23" s="10"/>
    </row>
    <row r="24" spans="1:19" s="56" customFormat="1" x14ac:dyDescent="0.2">
      <c r="A24" s="56" t="s">
        <v>120</v>
      </c>
      <c r="Q24" s="12"/>
      <c r="R24" s="12"/>
    </row>
    <row r="25" spans="1:19" x14ac:dyDescent="0.2">
      <c r="A25" s="60" t="s">
        <v>68</v>
      </c>
      <c r="B25" s="60">
        <v>0.33717999999999998</v>
      </c>
      <c r="C25" s="60">
        <v>6.0659999999999999E-2</v>
      </c>
      <c r="D25" s="60">
        <v>-0.47071000000000002</v>
      </c>
      <c r="E25" s="60">
        <v>0.311</v>
      </c>
      <c r="F25" s="60">
        <v>-8.7870000000000004E-2</v>
      </c>
      <c r="G25" s="60">
        <v>1.48</v>
      </c>
      <c r="H25" s="60">
        <v>0.83</v>
      </c>
      <c r="I25" s="60">
        <v>-0.58213000000000015</v>
      </c>
      <c r="J25" s="60">
        <v>-1.1399999999999999</v>
      </c>
      <c r="K25" s="60">
        <v>-0.78</v>
      </c>
      <c r="L25" s="60">
        <f>-1.16-K25-J25</f>
        <v>0.76</v>
      </c>
      <c r="M25" s="60">
        <v>3.79</v>
      </c>
      <c r="N25" s="60">
        <v>1.83</v>
      </c>
      <c r="O25" s="60">
        <v>-3.88</v>
      </c>
      <c r="P25" s="37">
        <v>0.1</v>
      </c>
      <c r="Q25" s="61">
        <f t="shared" ref="Q25:Q27" si="6">P25/O25-1</f>
        <v>-1.0257731958762886</v>
      </c>
      <c r="R25" s="61">
        <f t="shared" ref="R25:R27" si="7">P25/L25-1</f>
        <v>-0.86842105263157898</v>
      </c>
    </row>
    <row r="26" spans="1:19" x14ac:dyDescent="0.2">
      <c r="A26" s="60" t="s">
        <v>69</v>
      </c>
      <c r="B26" s="60">
        <v>0.86524000000000001</v>
      </c>
      <c r="C26" s="60">
        <v>1.20218</v>
      </c>
      <c r="D26" s="60">
        <v>2.4000000000000001E-4</v>
      </c>
      <c r="E26" s="60">
        <v>0.79200000000000004</v>
      </c>
      <c r="F26" s="60">
        <v>0.98677000000000004</v>
      </c>
      <c r="G26" s="60">
        <v>0.9</v>
      </c>
      <c r="H26" s="60">
        <v>2.38</v>
      </c>
      <c r="I26" s="60">
        <v>3.214</v>
      </c>
      <c r="J26" s="60">
        <v>2.62</v>
      </c>
      <c r="K26" s="60">
        <v>1.48</v>
      </c>
      <c r="L26" s="60">
        <v>0.7</v>
      </c>
      <c r="M26" s="60">
        <v>1.46</v>
      </c>
      <c r="N26" s="60">
        <v>5.26</v>
      </c>
      <c r="O26" s="60">
        <v>7.09</v>
      </c>
      <c r="P26" s="37">
        <v>3.21</v>
      </c>
      <c r="Q26" s="61">
        <f t="shared" si="6"/>
        <v>-0.54724964739069115</v>
      </c>
      <c r="R26" s="61">
        <f t="shared" si="7"/>
        <v>3.5857142857142863</v>
      </c>
    </row>
    <row r="27" spans="1:19" x14ac:dyDescent="0.2">
      <c r="A27" s="60" t="s">
        <v>70</v>
      </c>
      <c r="B27" s="60">
        <v>1.20242</v>
      </c>
      <c r="C27" s="60">
        <v>1.26284</v>
      </c>
      <c r="D27" s="60">
        <v>-0.47047</v>
      </c>
      <c r="E27" s="60">
        <v>0.98699999999999999</v>
      </c>
      <c r="F27" s="60">
        <v>0.89890000000000003</v>
      </c>
      <c r="G27" s="60">
        <v>2.38</v>
      </c>
      <c r="H27" s="60">
        <v>3.21</v>
      </c>
      <c r="I27" s="60">
        <v>2.62</v>
      </c>
      <c r="J27" s="60">
        <v>1.48</v>
      </c>
      <c r="K27" s="60">
        <v>0.7</v>
      </c>
      <c r="L27" s="60">
        <v>1.46</v>
      </c>
      <c r="M27" s="60">
        <v>5.25</v>
      </c>
      <c r="N27" s="60">
        <v>7.0860000000000003</v>
      </c>
      <c r="O27" s="60">
        <v>3.21</v>
      </c>
      <c r="P27" s="37">
        <v>3.31</v>
      </c>
      <c r="Q27" s="61">
        <f t="shared" si="6"/>
        <v>3.1152647975077885E-2</v>
      </c>
      <c r="R27" s="61">
        <f t="shared" si="7"/>
        <v>1.2671232876712328</v>
      </c>
    </row>
    <row r="28" spans="1:19" x14ac:dyDescent="0.2">
      <c r="Q28" s="10"/>
      <c r="R28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1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0.5703125" defaultRowHeight="16" x14ac:dyDescent="0.2"/>
  <cols>
    <col min="1" max="1" width="62.42578125" style="10" bestFit="1" customWidth="1"/>
    <col min="2" max="5" width="10.5703125" style="10"/>
    <col min="6" max="6" width="10.5703125" style="37"/>
    <col min="7" max="7" width="10.5703125" style="10"/>
    <col min="8" max="8" width="10.5703125" style="3"/>
    <col min="9" max="16384" width="10.5703125" style="10"/>
  </cols>
  <sheetData>
    <row r="1" spans="1:8" s="4" customFormat="1" x14ac:dyDescent="0.2">
      <c r="A1" s="6" t="s">
        <v>119</v>
      </c>
      <c r="B1" s="33">
        <v>2014</v>
      </c>
      <c r="C1" s="33">
        <v>2015</v>
      </c>
      <c r="D1" s="33">
        <v>2016</v>
      </c>
      <c r="E1" s="33">
        <v>2017</v>
      </c>
      <c r="F1" s="54">
        <v>2018</v>
      </c>
      <c r="H1" s="5" t="s">
        <v>77</v>
      </c>
    </row>
    <row r="2" spans="1:8" s="11" customFormat="1" x14ac:dyDescent="0.2">
      <c r="A2" s="11" t="s">
        <v>50</v>
      </c>
      <c r="F2" s="44"/>
      <c r="H2" s="12"/>
    </row>
    <row r="3" spans="1:8" x14ac:dyDescent="0.2">
      <c r="A3" s="10" t="s">
        <v>20</v>
      </c>
      <c r="B3" s="32">
        <v>3.282</v>
      </c>
      <c r="C3" s="32">
        <v>4.1429999999999998</v>
      </c>
      <c r="D3" s="32">
        <v>3.9609999999999999</v>
      </c>
      <c r="E3" s="32">
        <v>8.67</v>
      </c>
      <c r="F3" s="37">
        <v>5.04</v>
      </c>
      <c r="H3" s="3">
        <f>F3/E3-1</f>
        <v>-0.41868512110726641</v>
      </c>
    </row>
    <row r="4" spans="1:8" x14ac:dyDescent="0.2">
      <c r="A4" s="10" t="s">
        <v>51</v>
      </c>
      <c r="B4" s="32">
        <v>-1.194</v>
      </c>
      <c r="C4" s="32">
        <v>1.2170000000000001</v>
      </c>
      <c r="D4" s="32">
        <v>2.371</v>
      </c>
      <c r="E4" s="32">
        <v>-0.2</v>
      </c>
      <c r="F4" s="37">
        <v>5.7</v>
      </c>
      <c r="H4" s="3">
        <f t="shared" ref="H4:H14" si="0">F4/E4-1</f>
        <v>-29.5</v>
      </c>
    </row>
    <row r="5" spans="1:8" x14ac:dyDescent="0.2">
      <c r="A5" s="10" t="s">
        <v>52</v>
      </c>
      <c r="B5" s="32">
        <v>3.3780000000000001</v>
      </c>
      <c r="C5" s="32">
        <v>3.6070000000000002</v>
      </c>
      <c r="D5" s="32">
        <v>4.4530000000000003</v>
      </c>
      <c r="E5" s="32">
        <v>5.03</v>
      </c>
      <c r="F5" s="37">
        <v>6.84</v>
      </c>
      <c r="H5" s="3">
        <f t="shared" si="0"/>
        <v>0.3598409542743537</v>
      </c>
    </row>
    <row r="6" spans="1:8" x14ac:dyDescent="0.2">
      <c r="A6" s="10" t="s">
        <v>53</v>
      </c>
      <c r="B6" s="32">
        <v>-4.3999999999999997E-2</v>
      </c>
      <c r="C6" s="32">
        <v>8.9999999999999993E-3</v>
      </c>
      <c r="D6" s="32">
        <v>1.202</v>
      </c>
      <c r="E6" s="32">
        <v>-1.32</v>
      </c>
      <c r="F6" s="37">
        <v>-0.02</v>
      </c>
      <c r="H6" s="3">
        <f t="shared" si="0"/>
        <v>-0.98484848484848486</v>
      </c>
    </row>
    <row r="7" spans="1:8" x14ac:dyDescent="0.2">
      <c r="A7" s="10" t="s">
        <v>54</v>
      </c>
      <c r="B7" s="32">
        <v>0.66500000000000004</v>
      </c>
      <c r="C7" s="32">
        <v>0.61</v>
      </c>
      <c r="D7" s="32">
        <v>0.61899999999999999</v>
      </c>
      <c r="E7" s="32">
        <v>0.73</v>
      </c>
      <c r="F7" s="37">
        <v>1.1499999999999999</v>
      </c>
      <c r="H7" s="3">
        <f t="shared" si="0"/>
        <v>0.57534246575342451</v>
      </c>
    </row>
    <row r="8" spans="1:8" x14ac:dyDescent="0.2">
      <c r="A8" s="10" t="s">
        <v>111</v>
      </c>
      <c r="B8" s="32">
        <v>0.10100000000000001</v>
      </c>
      <c r="C8" s="32">
        <v>-0.111</v>
      </c>
      <c r="D8" s="32">
        <v>-4.5999999999999999E-2</v>
      </c>
      <c r="E8" s="32">
        <v>-0.04</v>
      </c>
      <c r="F8" s="37">
        <v>-0.2</v>
      </c>
      <c r="H8" s="3">
        <f t="shared" si="0"/>
        <v>4</v>
      </c>
    </row>
    <row r="9" spans="1:8" x14ac:dyDescent="0.2">
      <c r="A9" s="10" t="s">
        <v>55</v>
      </c>
      <c r="B9" s="32">
        <v>-0.71599999999999997</v>
      </c>
      <c r="C9" s="32">
        <v>-0.26200000000000001</v>
      </c>
      <c r="D9" s="32">
        <v>0.36799999999999999</v>
      </c>
      <c r="E9" s="32">
        <v>3.36</v>
      </c>
      <c r="F9" s="37">
        <v>0.35</v>
      </c>
      <c r="H9" s="3">
        <f t="shared" si="0"/>
        <v>-0.89583333333333337</v>
      </c>
    </row>
    <row r="10" spans="1:8" x14ac:dyDescent="0.2">
      <c r="A10" s="10" t="s">
        <v>56</v>
      </c>
      <c r="B10" s="32">
        <v>-1.0269999999999999</v>
      </c>
      <c r="C10" s="32">
        <v>3.8330000000000002</v>
      </c>
      <c r="D10" s="32">
        <v>-5.3</v>
      </c>
      <c r="E10" s="32">
        <v>-2.76</v>
      </c>
      <c r="F10" s="37">
        <v>-3.54</v>
      </c>
      <c r="H10" s="3">
        <f t="shared" si="0"/>
        <v>0.28260869565217406</v>
      </c>
    </row>
    <row r="11" spans="1:8" s="1" customFormat="1" x14ac:dyDescent="0.2">
      <c r="A11" s="1" t="s">
        <v>57</v>
      </c>
      <c r="B11" s="30">
        <v>-2.661</v>
      </c>
      <c r="C11" s="30">
        <v>-1.4490000000000001</v>
      </c>
      <c r="D11" s="30">
        <v>-2.0350000000000001</v>
      </c>
      <c r="E11" s="30">
        <v>-4.2699999999999996</v>
      </c>
      <c r="F11" s="37">
        <v>-6.95</v>
      </c>
      <c r="H11" s="3">
        <f t="shared" si="0"/>
        <v>0.62763466042154592</v>
      </c>
    </row>
    <row r="12" spans="1:8" s="1" customFormat="1" x14ac:dyDescent="0.2">
      <c r="A12" s="1" t="s">
        <v>58</v>
      </c>
      <c r="B12" s="30">
        <v>-0.78900000000000003</v>
      </c>
      <c r="C12" s="30">
        <v>-3.234</v>
      </c>
      <c r="D12" s="30">
        <v>4.734</v>
      </c>
      <c r="E12" s="30">
        <v>1.5</v>
      </c>
      <c r="F12" s="37">
        <v>10</v>
      </c>
      <c r="H12" s="3">
        <f t="shared" si="0"/>
        <v>5.666666666666667</v>
      </c>
    </row>
    <row r="13" spans="1:8" x14ac:dyDescent="0.2">
      <c r="A13" s="10" t="s">
        <v>59</v>
      </c>
      <c r="B13" s="32">
        <v>0</v>
      </c>
      <c r="C13" s="32">
        <v>-1.724</v>
      </c>
      <c r="D13" s="32">
        <v>-1.554</v>
      </c>
      <c r="E13" s="32">
        <v>-2.35</v>
      </c>
      <c r="F13" s="37">
        <v>-1.55</v>
      </c>
      <c r="H13" s="3">
        <f t="shared" si="0"/>
        <v>-0.34042553191489366</v>
      </c>
    </row>
    <row r="14" spans="1:8" s="4" customFormat="1" x14ac:dyDescent="0.2">
      <c r="A14" s="4" t="s">
        <v>60</v>
      </c>
      <c r="B14" s="29">
        <v>2.0880000000000001</v>
      </c>
      <c r="C14" s="29">
        <v>5.36</v>
      </c>
      <c r="D14" s="29">
        <v>6.3310000000000004</v>
      </c>
      <c r="E14" s="29">
        <v>8.4700000000000006</v>
      </c>
      <c r="F14" s="45">
        <v>10.74</v>
      </c>
      <c r="H14" s="5">
        <f t="shared" si="0"/>
        <v>0.26800472255017693</v>
      </c>
    </row>
    <row r="15" spans="1:8" s="11" customFormat="1" x14ac:dyDescent="0.2">
      <c r="A15" s="11" t="s">
        <v>61</v>
      </c>
      <c r="F15" s="44"/>
      <c r="H15" s="12"/>
    </row>
    <row r="16" spans="1:8" s="1" customFormat="1" x14ac:dyDescent="0.2">
      <c r="A16" s="1" t="s">
        <v>62</v>
      </c>
      <c r="B16" s="30">
        <v>1.056</v>
      </c>
      <c r="C16" s="30">
        <v>9.8000000000000004E-2</v>
      </c>
      <c r="D16" s="30">
        <v>1.7210000000000001</v>
      </c>
      <c r="E16" s="30">
        <v>2.2000000000000002</v>
      </c>
      <c r="F16" s="37">
        <v>6.83</v>
      </c>
      <c r="H16" s="3">
        <f>F16/E16-1</f>
        <v>2.1045454545454545</v>
      </c>
    </row>
    <row r="17" spans="1:8" s="1" customFormat="1" x14ac:dyDescent="0.2">
      <c r="A17" s="1" t="s">
        <v>71</v>
      </c>
      <c r="B17" s="30">
        <v>1.0529999999999999</v>
      </c>
      <c r="C17" s="30">
        <v>9.8000000000000004E-2</v>
      </c>
      <c r="D17" s="30">
        <v>1.7210000000000001</v>
      </c>
      <c r="E17" s="30">
        <v>1.33</v>
      </c>
      <c r="F17" s="37">
        <v>6.21</v>
      </c>
      <c r="H17" s="3">
        <f>F17/E17-1</f>
        <v>3.6691729323308264</v>
      </c>
    </row>
    <row r="18" spans="1:8" x14ac:dyDescent="0.2">
      <c r="A18" s="10" t="s">
        <v>63</v>
      </c>
      <c r="B18" s="32">
        <v>3.0760000000000001</v>
      </c>
      <c r="C18" s="32">
        <v>10.537000000000001</v>
      </c>
      <c r="D18" s="32">
        <v>7.585</v>
      </c>
      <c r="E18" s="32">
        <v>10.7</v>
      </c>
      <c r="F18" s="37">
        <v>15.71</v>
      </c>
      <c r="H18" s="3">
        <f>F18/E18-1</f>
        <v>0.46822429906542085</v>
      </c>
    </row>
    <row r="19" spans="1:8" x14ac:dyDescent="0.2">
      <c r="A19" s="10" t="s">
        <v>64</v>
      </c>
      <c r="B19" s="32">
        <v>3.0760000000000001</v>
      </c>
      <c r="C19" s="32">
        <v>10.537000000000001</v>
      </c>
      <c r="D19" s="32">
        <v>7.585</v>
      </c>
      <c r="E19" s="32">
        <v>10.7</v>
      </c>
      <c r="F19" s="37">
        <v>15.71</v>
      </c>
      <c r="H19" s="3">
        <f>F19/E19-1</f>
        <v>0.46822429906542085</v>
      </c>
    </row>
    <row r="20" spans="1:8" s="4" customFormat="1" x14ac:dyDescent="0.2">
      <c r="A20" s="4" t="s">
        <v>65</v>
      </c>
      <c r="B20" s="29">
        <v>-2.02</v>
      </c>
      <c r="C20" s="29">
        <v>-10.439</v>
      </c>
      <c r="D20" s="29">
        <v>-5.8639999999999999</v>
      </c>
      <c r="E20" s="29">
        <v>-8.5</v>
      </c>
      <c r="F20" s="45">
        <v>-8.8800000000000008</v>
      </c>
      <c r="H20" s="5">
        <f>F20/E20-1</f>
        <v>4.4705882352941373E-2</v>
      </c>
    </row>
    <row r="21" spans="1:8" s="11" customFormat="1" x14ac:dyDescent="0.2">
      <c r="A21" s="11" t="s">
        <v>66</v>
      </c>
      <c r="F21" s="44"/>
      <c r="H21" s="12"/>
    </row>
    <row r="22" spans="1:8" x14ac:dyDescent="0.2">
      <c r="A22" s="10" t="s">
        <v>62</v>
      </c>
      <c r="B22" s="32">
        <v>1.472</v>
      </c>
      <c r="C22" s="32">
        <v>7.9329999999999998</v>
      </c>
      <c r="D22" s="32">
        <v>3.5779999999999998</v>
      </c>
      <c r="E22" s="32">
        <v>5.9</v>
      </c>
      <c r="F22" s="37">
        <v>12.389999999999999</v>
      </c>
      <c r="H22" s="3">
        <f t="shared" ref="H22:H27" si="1">F22/E22-1</f>
        <v>1.0999999999999996</v>
      </c>
    </row>
    <row r="23" spans="1:8" x14ac:dyDescent="0.2">
      <c r="A23" s="10" t="s">
        <v>63</v>
      </c>
      <c r="B23" s="32">
        <v>3.6419999999999999</v>
      </c>
      <c r="C23" s="32">
        <v>3.6709999999999998</v>
      </c>
      <c r="D23" s="32">
        <v>3.9239999999999999</v>
      </c>
      <c r="E23" s="32">
        <v>4.2300000000000004</v>
      </c>
      <c r="F23" s="37">
        <v>11.62</v>
      </c>
      <c r="H23" s="3">
        <f t="shared" si="1"/>
        <v>1.747044917257683</v>
      </c>
    </row>
    <row r="24" spans="1:8" x14ac:dyDescent="0.2">
      <c r="A24" s="10" t="s">
        <v>112</v>
      </c>
      <c r="B24" s="32">
        <v>2.2890000000000001</v>
      </c>
      <c r="C24" s="32">
        <v>1.669</v>
      </c>
      <c r="D24" s="32">
        <v>1.87</v>
      </c>
      <c r="E24" s="32">
        <v>0.32</v>
      </c>
      <c r="F24" s="37">
        <v>6.11</v>
      </c>
      <c r="H24" s="3">
        <f t="shared" si="1"/>
        <v>18.09375</v>
      </c>
    </row>
    <row r="25" spans="1:8" x14ac:dyDescent="0.2">
      <c r="A25" s="10" t="s">
        <v>113</v>
      </c>
      <c r="B25" s="32">
        <v>0.68</v>
      </c>
      <c r="C25" s="32">
        <v>1.37</v>
      </c>
      <c r="D25" s="32">
        <v>1.397</v>
      </c>
      <c r="E25" s="32">
        <v>2.17</v>
      </c>
      <c r="F25" s="37">
        <v>3.13</v>
      </c>
      <c r="H25" s="3">
        <f t="shared" si="1"/>
        <v>0.44239631336405538</v>
      </c>
    </row>
    <row r="26" spans="1:8" x14ac:dyDescent="0.2">
      <c r="A26" s="10" t="s">
        <v>114</v>
      </c>
      <c r="B26" s="32">
        <v>0.67400000000000004</v>
      </c>
      <c r="C26" s="32">
        <v>0.63100000000000001</v>
      </c>
      <c r="D26" s="32">
        <v>0.65600000000000003</v>
      </c>
      <c r="E26" s="32">
        <v>0.73</v>
      </c>
      <c r="F26" s="37">
        <v>1.1599999999999999</v>
      </c>
      <c r="H26" s="3">
        <f t="shared" si="1"/>
        <v>0.58904109589041087</v>
      </c>
    </row>
    <row r="27" spans="1:8" s="4" customFormat="1" x14ac:dyDescent="0.2">
      <c r="A27" s="4" t="s">
        <v>67</v>
      </c>
      <c r="B27" s="29">
        <v>-2.17</v>
      </c>
      <c r="C27" s="29">
        <v>4.2629999999999999</v>
      </c>
      <c r="D27" s="29">
        <v>-0.34599999999999997</v>
      </c>
      <c r="E27" s="29">
        <v>1.67</v>
      </c>
      <c r="F27" s="45">
        <v>0.77</v>
      </c>
      <c r="H27" s="5">
        <f t="shared" si="1"/>
        <v>-0.53892215568862278</v>
      </c>
    </row>
    <row r="28" spans="1:8" s="11" customFormat="1" x14ac:dyDescent="0.2">
      <c r="A28" s="11" t="s">
        <v>120</v>
      </c>
      <c r="F28" s="44"/>
      <c r="H28" s="12"/>
    </row>
    <row r="29" spans="1:8" x14ac:dyDescent="0.2">
      <c r="A29" s="10" t="s">
        <v>68</v>
      </c>
      <c r="B29" s="32">
        <v>-2.1030000000000002</v>
      </c>
      <c r="C29" s="32">
        <v>-0.81599999999999995</v>
      </c>
      <c r="D29" s="32">
        <v>0.122</v>
      </c>
      <c r="E29" s="32">
        <v>1.64</v>
      </c>
      <c r="F29" s="37">
        <v>2.64</v>
      </c>
      <c r="H29" s="3">
        <f>F29/E29-1</f>
        <v>0.60975609756097571</v>
      </c>
    </row>
    <row r="30" spans="1:8" x14ac:dyDescent="0.2">
      <c r="A30" s="10" t="s">
        <v>69</v>
      </c>
      <c r="B30" s="32">
        <v>3.7850000000000001</v>
      </c>
      <c r="C30" s="32">
        <v>1.6819999999999999</v>
      </c>
      <c r="D30" s="32">
        <v>0.86499999999999999</v>
      </c>
      <c r="E30" s="32">
        <v>0.98</v>
      </c>
      <c r="F30" s="37">
        <v>2.62</v>
      </c>
      <c r="H30" s="3">
        <f>F30/E30-1</f>
        <v>1.6734693877551021</v>
      </c>
    </row>
    <row r="31" spans="1:8" x14ac:dyDescent="0.2">
      <c r="A31" s="10" t="s">
        <v>70</v>
      </c>
      <c r="B31" s="32">
        <v>1.6819999999999999</v>
      </c>
      <c r="C31" s="32">
        <v>0.86499999999999999</v>
      </c>
      <c r="D31" s="32">
        <v>0.98699999999999999</v>
      </c>
      <c r="E31" s="32">
        <v>2.62</v>
      </c>
      <c r="F31" s="37">
        <v>5.26</v>
      </c>
      <c r="H31" s="3">
        <f>F31/E31-1</f>
        <v>1.0076335877862594</v>
      </c>
    </row>
  </sheetData>
  <pageMargins left="0.25" right="0.25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7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0.5703125" defaultRowHeight="16" x14ac:dyDescent="0.2"/>
  <cols>
    <col min="1" max="1" width="36.28515625" style="1" customWidth="1"/>
    <col min="2" max="15" width="10.5703125" style="1" customWidth="1"/>
    <col min="16" max="16" width="10.5703125" style="8"/>
    <col min="17" max="18" width="10.5703125" style="3"/>
    <col min="19" max="19" width="10.5703125" style="1"/>
    <col min="20" max="20" width="0" style="1" hidden="1" customWidth="1"/>
    <col min="21" max="21" width="10.5703125" style="8" hidden="1" customWidth="1"/>
    <col min="22" max="24" width="0" style="1" hidden="1" customWidth="1"/>
    <col min="25" max="25" width="10.5703125" style="1" hidden="1" customWidth="1"/>
    <col min="26" max="26" width="10.5703125" style="8" hidden="1" customWidth="1"/>
    <col min="27" max="28" width="10.5703125" style="1" hidden="1" customWidth="1"/>
    <col min="29" max="16384" width="10.5703125" style="1"/>
  </cols>
  <sheetData>
    <row r="1" spans="1:28" s="4" customFormat="1" x14ac:dyDescent="0.2">
      <c r="A1" s="6" t="s">
        <v>119</v>
      </c>
      <c r="B1" s="4" t="s">
        <v>101</v>
      </c>
      <c r="C1" s="4" t="s">
        <v>102</v>
      </c>
      <c r="D1" s="4" t="s">
        <v>103</v>
      </c>
      <c r="E1" s="4" t="s">
        <v>104</v>
      </c>
      <c r="F1" s="4" t="s">
        <v>105</v>
      </c>
      <c r="G1" s="4" t="s">
        <v>151</v>
      </c>
      <c r="H1" s="4" t="s">
        <v>153</v>
      </c>
      <c r="I1" s="4" t="s">
        <v>157</v>
      </c>
      <c r="J1" s="4" t="s">
        <v>158</v>
      </c>
      <c r="K1" s="4" t="s">
        <v>160</v>
      </c>
      <c r="L1" s="4" t="s">
        <v>163</v>
      </c>
      <c r="M1" s="4" t="s">
        <v>165</v>
      </c>
      <c r="N1" s="4" t="s">
        <v>169</v>
      </c>
      <c r="O1" s="4" t="s">
        <v>171</v>
      </c>
      <c r="P1" s="7" t="s">
        <v>173</v>
      </c>
      <c r="Q1" s="5" t="s">
        <v>78</v>
      </c>
      <c r="R1" s="5" t="s">
        <v>77</v>
      </c>
      <c r="T1" s="4" t="s">
        <v>152</v>
      </c>
      <c r="U1" s="7" t="s">
        <v>161</v>
      </c>
      <c r="W1" s="4" t="s">
        <v>77</v>
      </c>
      <c r="Y1" s="29" t="s">
        <v>168</v>
      </c>
      <c r="Z1" s="7" t="s">
        <v>166</v>
      </c>
      <c r="AB1" s="4" t="s">
        <v>77</v>
      </c>
    </row>
    <row r="2" spans="1:28" x14ac:dyDescent="0.2">
      <c r="A2" s="1" t="s">
        <v>73</v>
      </c>
      <c r="B2" s="1">
        <v>0.11254</v>
      </c>
      <c r="C2" s="1">
        <v>1.9519999999999999E-2</v>
      </c>
      <c r="D2" s="1">
        <v>3.9899999999999998E-2</v>
      </c>
      <c r="E2" s="1">
        <v>0.65347999999999995</v>
      </c>
      <c r="F2" s="1">
        <v>0.17580000000000001</v>
      </c>
      <c r="G2" s="1">
        <v>0.4</v>
      </c>
      <c r="H2" s="1">
        <f>(1011.3-481.5)/1000</f>
        <v>0.52979999999999994</v>
      </c>
      <c r="I2" s="1">
        <f>1151.9/1000</f>
        <v>1.1519000000000001</v>
      </c>
      <c r="J2" s="1">
        <v>0.156</v>
      </c>
      <c r="K2" s="1">
        <v>0.22</v>
      </c>
      <c r="L2" s="1">
        <v>0.41</v>
      </c>
      <c r="M2" s="1">
        <v>0.08</v>
      </c>
      <c r="N2" s="1">
        <v>0</v>
      </c>
      <c r="O2" s="1">
        <v>0</v>
      </c>
      <c r="P2" s="25">
        <v>0.2</v>
      </c>
      <c r="Q2" s="3" t="e">
        <f>P2/O2-1</f>
        <v>#DIV/0!</v>
      </c>
      <c r="R2" s="14">
        <f>P2/L2-1</f>
        <v>-0.51219512195121952</v>
      </c>
      <c r="S2" s="14"/>
      <c r="T2" s="1">
        <f t="shared" ref="T2:T7" si="0">SUM(F2:G2)</f>
        <v>0.57580000000000009</v>
      </c>
      <c r="U2" s="25">
        <f t="shared" ref="U2:U7" si="1">SUM(J2:L2)</f>
        <v>0.78600000000000003</v>
      </c>
      <c r="V2" s="3"/>
      <c r="W2" s="3">
        <f t="shared" ref="W2:W7" si="2">U2/T2-1</f>
        <v>0.36505731156651589</v>
      </c>
      <c r="Y2" s="30">
        <f t="shared" ref="Y2:Y7" si="3">SUM(F2:I2)</f>
        <v>2.2575000000000003</v>
      </c>
      <c r="Z2" s="8">
        <f t="shared" ref="Z2:Z7" si="4">SUM(J2:M2)</f>
        <v>0.86599999999999999</v>
      </c>
      <c r="AB2" s="3">
        <f t="shared" ref="AB2:AB7" si="5">Z2/Y2-1</f>
        <v>-0.61638981173864904</v>
      </c>
    </row>
    <row r="3" spans="1:28" x14ac:dyDescent="0.2">
      <c r="A3" s="1" t="s">
        <v>74</v>
      </c>
      <c r="B3" s="1">
        <v>0.14135</v>
      </c>
      <c r="C3" s="1">
        <v>4.9070000000000003E-2</v>
      </c>
      <c r="D3" s="1">
        <v>0.43437999999999999</v>
      </c>
      <c r="E3" s="1">
        <v>0.29980000000000001</v>
      </c>
      <c r="F3" s="1">
        <v>6.8400000000000002E-2</v>
      </c>
      <c r="G3" s="1">
        <v>7.0000000000000007E-2</v>
      </c>
      <c r="H3" s="1">
        <v>0.37569999999999998</v>
      </c>
      <c r="I3" s="1">
        <f>500.28/1000</f>
        <v>0.50027999999999995</v>
      </c>
      <c r="J3" s="1">
        <v>1.0064</v>
      </c>
      <c r="K3" s="1">
        <v>0.37</v>
      </c>
      <c r="L3" s="1">
        <v>0.23</v>
      </c>
      <c r="M3" s="1">
        <v>0.01</v>
      </c>
      <c r="N3" s="1">
        <v>0</v>
      </c>
      <c r="O3" s="1">
        <v>0.13</v>
      </c>
      <c r="P3" s="25">
        <v>0</v>
      </c>
      <c r="Q3" s="3">
        <f t="shared" ref="Q3:Q7" si="6">P3/O3-1</f>
        <v>-1</v>
      </c>
      <c r="R3" s="14">
        <f t="shared" ref="R3:R7" si="7">P3/L3-1</f>
        <v>-1</v>
      </c>
      <c r="S3" s="3"/>
      <c r="T3" s="1">
        <f t="shared" si="0"/>
        <v>0.13840000000000002</v>
      </c>
      <c r="U3" s="25">
        <f t="shared" si="1"/>
        <v>1.6063999999999998</v>
      </c>
      <c r="V3" s="3"/>
      <c r="W3" s="3">
        <f t="shared" si="2"/>
        <v>10.606936416184968</v>
      </c>
      <c r="Y3" s="30">
        <f t="shared" si="3"/>
        <v>1.0143800000000001</v>
      </c>
      <c r="Z3" s="8">
        <f t="shared" si="4"/>
        <v>1.6163999999999998</v>
      </c>
      <c r="AB3" s="3">
        <f t="shared" si="5"/>
        <v>0.59348567597941582</v>
      </c>
    </row>
    <row r="4" spans="1:28" x14ac:dyDescent="0.2">
      <c r="A4" s="1" t="s">
        <v>75</v>
      </c>
      <c r="B4" s="1">
        <v>0.40237000000000001</v>
      </c>
      <c r="C4" s="1">
        <v>7.7579999999999996E-2</v>
      </c>
      <c r="D4" s="1">
        <v>1.75109</v>
      </c>
      <c r="E4" s="1">
        <v>0.41781000000000001</v>
      </c>
      <c r="F4" s="1">
        <v>5.9499999999999997E-2</v>
      </c>
      <c r="G4" s="1">
        <v>0.06</v>
      </c>
      <c r="H4" s="1">
        <f>(302.5+1.6+86.6+481.5)/1000</f>
        <v>0.87220000000000009</v>
      </c>
      <c r="I4" s="1">
        <f>4511.24/1000</f>
        <v>4.5112399999999999</v>
      </c>
      <c r="J4" s="1">
        <v>1.976</v>
      </c>
      <c r="K4" s="1">
        <v>1.98</v>
      </c>
      <c r="L4" s="1">
        <v>2.57</v>
      </c>
      <c r="M4" s="1">
        <v>0.68</v>
      </c>
      <c r="N4" s="1">
        <v>0.5</v>
      </c>
      <c r="O4" s="1">
        <v>2.84</v>
      </c>
      <c r="P4" s="25">
        <v>0</v>
      </c>
      <c r="Q4" s="3">
        <f t="shared" si="6"/>
        <v>-1</v>
      </c>
      <c r="R4" s="14">
        <f t="shared" si="7"/>
        <v>-1</v>
      </c>
      <c r="S4" s="3"/>
      <c r="T4" s="1">
        <f t="shared" si="0"/>
        <v>0.1195</v>
      </c>
      <c r="U4" s="25">
        <f t="shared" si="1"/>
        <v>6.5259999999999998</v>
      </c>
      <c r="V4" s="3"/>
      <c r="W4" s="3">
        <f t="shared" si="2"/>
        <v>53.610878661087867</v>
      </c>
      <c r="Y4" s="30">
        <f t="shared" si="3"/>
        <v>5.5029399999999997</v>
      </c>
      <c r="Z4" s="8">
        <f t="shared" si="4"/>
        <v>7.2059999999999995</v>
      </c>
      <c r="AB4" s="3">
        <f t="shared" si="5"/>
        <v>0.30948184061610706</v>
      </c>
    </row>
    <row r="5" spans="1:28" x14ac:dyDescent="0.2">
      <c r="A5" s="1" t="s">
        <v>76</v>
      </c>
      <c r="B5" s="1">
        <v>0.44679999999999997</v>
      </c>
      <c r="C5" s="1">
        <v>0.56025000000000003</v>
      </c>
      <c r="D5" s="1">
        <v>0.45685999999999999</v>
      </c>
      <c r="E5" s="1">
        <v>1.09355</v>
      </c>
      <c r="F5" s="1">
        <f>0.0262+0.25</f>
        <v>0.2762</v>
      </c>
      <c r="G5" s="1">
        <v>0.6</v>
      </c>
      <c r="H5" s="1">
        <v>1.0318799999999999</v>
      </c>
      <c r="I5" s="1">
        <f>1524.18/1000</f>
        <v>1.5241800000000001</v>
      </c>
      <c r="J5" s="1">
        <v>1.1000000000000001</v>
      </c>
      <c r="K5" s="1">
        <v>2.02</v>
      </c>
      <c r="L5" s="1">
        <v>1.04</v>
      </c>
      <c r="M5" s="1">
        <v>1.48</v>
      </c>
      <c r="N5" s="1">
        <v>1.5</v>
      </c>
      <c r="O5" s="1">
        <v>1.1000000000000001</v>
      </c>
      <c r="P5" s="25">
        <v>1.49</v>
      </c>
      <c r="Q5" s="3">
        <f t="shared" si="6"/>
        <v>0.3545454545454545</v>
      </c>
      <c r="R5" s="14">
        <f t="shared" si="7"/>
        <v>0.43269230769230771</v>
      </c>
      <c r="S5" s="3"/>
      <c r="T5" s="1">
        <f t="shared" si="0"/>
        <v>0.87619999999999998</v>
      </c>
      <c r="U5" s="25">
        <f t="shared" si="1"/>
        <v>4.16</v>
      </c>
      <c r="V5" s="3"/>
      <c r="W5" s="3">
        <f t="shared" si="2"/>
        <v>3.7477744807121667</v>
      </c>
      <c r="Y5" s="30">
        <f t="shared" si="3"/>
        <v>3.4322600000000003</v>
      </c>
      <c r="Z5" s="8">
        <f t="shared" si="4"/>
        <v>5.6400000000000006</v>
      </c>
      <c r="AB5" s="3">
        <f t="shared" si="5"/>
        <v>0.64323215607209239</v>
      </c>
    </row>
    <row r="6" spans="1:28" x14ac:dyDescent="0.2">
      <c r="A6" s="1" t="s">
        <v>100</v>
      </c>
      <c r="B6" s="1">
        <v>5.586E-2</v>
      </c>
      <c r="C6" s="1">
        <v>6.8409999999999999E-2</v>
      </c>
      <c r="D6" s="1">
        <v>3.7019999999999997E-2</v>
      </c>
      <c r="E6" s="1">
        <v>0.10218000000000001</v>
      </c>
      <c r="F6" s="1">
        <v>3.866E-2</v>
      </c>
      <c r="G6" s="1">
        <v>0.1</v>
      </c>
      <c r="H6" s="1">
        <f>(477.76-302.5)/1000</f>
        <v>0.17526</v>
      </c>
      <c r="I6" s="1">
        <f>313.17/1000</f>
        <v>0.31317</v>
      </c>
      <c r="J6" s="1">
        <v>2.7E-2</v>
      </c>
      <c r="K6" s="1">
        <v>0.1</v>
      </c>
      <c r="L6" s="1">
        <v>0.4</v>
      </c>
      <c r="M6" s="1">
        <v>0.05</v>
      </c>
      <c r="N6" s="1">
        <v>0.04</v>
      </c>
      <c r="O6" s="1">
        <v>0.02</v>
      </c>
      <c r="P6" s="25">
        <v>0</v>
      </c>
      <c r="Q6" s="3">
        <f t="shared" si="6"/>
        <v>-1</v>
      </c>
      <c r="R6" s="14">
        <f t="shared" si="7"/>
        <v>-1</v>
      </c>
      <c r="S6" s="3"/>
      <c r="T6" s="1">
        <f t="shared" si="0"/>
        <v>0.13866000000000001</v>
      </c>
      <c r="U6" s="25">
        <f t="shared" si="1"/>
        <v>0.52700000000000002</v>
      </c>
      <c r="V6" s="3"/>
      <c r="W6" s="3">
        <f t="shared" si="2"/>
        <v>2.8006634934371846</v>
      </c>
      <c r="Y6" s="30">
        <f t="shared" si="3"/>
        <v>0.62708999999999993</v>
      </c>
      <c r="Z6" s="8">
        <f t="shared" si="4"/>
        <v>0.57700000000000007</v>
      </c>
      <c r="AB6" s="3">
        <f t="shared" si="5"/>
        <v>-7.9876891674241168E-2</v>
      </c>
    </row>
    <row r="7" spans="1:28" s="4" customFormat="1" x14ac:dyDescent="0.2">
      <c r="A7" s="4" t="s">
        <v>79</v>
      </c>
      <c r="B7" s="4">
        <f>SUM(B2:B6)</f>
        <v>1.1589200000000002</v>
      </c>
      <c r="C7" s="4">
        <f t="shared" ref="C7:H7" si="8">SUM(C2:C6)</f>
        <v>0.77483000000000002</v>
      </c>
      <c r="D7" s="4">
        <f t="shared" si="8"/>
        <v>2.7192499999999997</v>
      </c>
      <c r="E7" s="4">
        <f t="shared" si="8"/>
        <v>2.5668200000000003</v>
      </c>
      <c r="F7" s="4">
        <f t="shared" si="8"/>
        <v>0.61856000000000011</v>
      </c>
      <c r="G7" s="4">
        <f t="shared" si="8"/>
        <v>1.23</v>
      </c>
      <c r="H7" s="4">
        <f t="shared" si="8"/>
        <v>2.9848400000000002</v>
      </c>
      <c r="I7" s="4">
        <f t="shared" ref="I7:P7" si="9">SUM(I2:I6)</f>
        <v>8.000770000000001</v>
      </c>
      <c r="J7" s="4">
        <f t="shared" si="9"/>
        <v>4.2654000000000005</v>
      </c>
      <c r="K7" s="4">
        <f t="shared" si="9"/>
        <v>4.6899999999999995</v>
      </c>
      <c r="L7" s="4">
        <f t="shared" si="9"/>
        <v>4.6500000000000004</v>
      </c>
      <c r="M7" s="4">
        <f t="shared" si="9"/>
        <v>2.2999999999999998</v>
      </c>
      <c r="N7" s="4">
        <f t="shared" ref="N7:O7" si="10">SUM(N2:N6)</f>
        <v>2.04</v>
      </c>
      <c r="O7" s="4">
        <f t="shared" si="10"/>
        <v>4.09</v>
      </c>
      <c r="P7" s="36">
        <f t="shared" si="9"/>
        <v>1.69</v>
      </c>
      <c r="Q7" s="5">
        <f t="shared" si="6"/>
        <v>-0.58679706601466997</v>
      </c>
      <c r="R7" s="5">
        <f t="shared" si="7"/>
        <v>-0.63655913978494627</v>
      </c>
      <c r="S7" s="5"/>
      <c r="T7" s="4">
        <f t="shared" si="0"/>
        <v>1.84856</v>
      </c>
      <c r="U7" s="36">
        <f t="shared" si="1"/>
        <v>13.605400000000001</v>
      </c>
      <c r="V7" s="5"/>
      <c r="W7" s="5">
        <f t="shared" si="2"/>
        <v>6.3599991344614191</v>
      </c>
      <c r="Y7" s="29">
        <f t="shared" si="3"/>
        <v>12.83417</v>
      </c>
      <c r="Z7" s="7">
        <f t="shared" si="4"/>
        <v>15.9054</v>
      </c>
      <c r="AB7" s="5">
        <f t="shared" si="5"/>
        <v>0.23930102219309846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1"/>
  <sheetViews>
    <sheetView zoomScaleNormal="100" zoomScalePageLayoutView="12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0.5703125" defaultRowHeight="16" x14ac:dyDescent="0.2"/>
  <cols>
    <col min="1" max="1" width="34.5703125" style="17" bestFit="1" customWidth="1"/>
    <col min="2" max="23" width="7" style="17" bestFit="1" customWidth="1"/>
    <col min="24" max="24" width="7" style="18" customWidth="1"/>
    <col min="25" max="16384" width="10.5703125" style="17"/>
  </cols>
  <sheetData>
    <row r="1" spans="1:26" s="16" customFormat="1" x14ac:dyDescent="0.2">
      <c r="A1" s="15" t="s">
        <v>128</v>
      </c>
      <c r="B1" s="16" t="s">
        <v>121</v>
      </c>
      <c r="C1" s="16" t="s">
        <v>122</v>
      </c>
      <c r="D1" s="16" t="s">
        <v>123</v>
      </c>
      <c r="E1" s="16" t="s">
        <v>124</v>
      </c>
      <c r="F1" s="16" t="s">
        <v>125</v>
      </c>
      <c r="G1" s="16" t="s">
        <v>96</v>
      </c>
      <c r="H1" s="16" t="s">
        <v>97</v>
      </c>
      <c r="I1" s="16" t="s">
        <v>98</v>
      </c>
      <c r="J1" s="16" t="s">
        <v>101</v>
      </c>
      <c r="K1" s="16" t="s">
        <v>102</v>
      </c>
      <c r="L1" s="16" t="s">
        <v>103</v>
      </c>
      <c r="M1" s="16" t="s">
        <v>104</v>
      </c>
      <c r="N1" s="16" t="s">
        <v>105</v>
      </c>
      <c r="O1" s="16" t="s">
        <v>151</v>
      </c>
      <c r="P1" s="16" t="s">
        <v>153</v>
      </c>
      <c r="Q1" s="16" t="s">
        <v>157</v>
      </c>
      <c r="R1" s="16" t="s">
        <v>158</v>
      </c>
      <c r="S1" s="16" t="s">
        <v>160</v>
      </c>
      <c r="T1" s="16" t="s">
        <v>163</v>
      </c>
      <c r="U1" s="16" t="s">
        <v>165</v>
      </c>
      <c r="V1" s="16" t="s">
        <v>169</v>
      </c>
      <c r="W1" s="16" t="s">
        <v>171</v>
      </c>
      <c r="X1" s="57" t="s">
        <v>173</v>
      </c>
      <c r="Y1" s="5" t="s">
        <v>78</v>
      </c>
      <c r="Z1" s="5" t="s">
        <v>77</v>
      </c>
    </row>
    <row r="2" spans="1:26" s="11" customFormat="1" x14ac:dyDescent="0.2">
      <c r="A2" s="11" t="s">
        <v>4</v>
      </c>
      <c r="G2" s="12"/>
      <c r="W2" s="56"/>
      <c r="X2" s="56"/>
    </row>
    <row r="3" spans="1:26" x14ac:dyDescent="0.2">
      <c r="A3" s="17" t="s">
        <v>129</v>
      </c>
      <c r="B3" s="17">
        <v>398</v>
      </c>
      <c r="C3" s="17">
        <v>399</v>
      </c>
      <c r="D3" s="17">
        <v>440</v>
      </c>
      <c r="E3" s="17">
        <v>437</v>
      </c>
      <c r="F3" s="17">
        <v>443</v>
      </c>
      <c r="G3" s="17">
        <v>452</v>
      </c>
      <c r="H3" s="17">
        <v>484</v>
      </c>
      <c r="I3" s="17">
        <v>465</v>
      </c>
      <c r="J3" s="17">
        <v>475</v>
      </c>
      <c r="K3" s="17">
        <v>492</v>
      </c>
      <c r="L3" s="17">
        <v>532</v>
      </c>
      <c r="M3" s="17">
        <v>527</v>
      </c>
      <c r="N3" s="17">
        <v>539</v>
      </c>
      <c r="O3" s="17">
        <v>534</v>
      </c>
      <c r="P3" s="17">
        <v>555</v>
      </c>
      <c r="Q3" s="17">
        <v>576</v>
      </c>
      <c r="R3" s="17">
        <v>591</v>
      </c>
      <c r="S3" s="17">
        <v>602</v>
      </c>
      <c r="T3" s="17">
        <v>616</v>
      </c>
      <c r="U3" s="17">
        <v>614</v>
      </c>
      <c r="V3" s="17">
        <v>607</v>
      </c>
      <c r="W3" s="17">
        <v>590</v>
      </c>
      <c r="X3" s="58">
        <v>578</v>
      </c>
      <c r="Y3" s="14">
        <f>X3/W3-1</f>
        <v>-2.033898305084747E-2</v>
      </c>
      <c r="Z3" s="14">
        <f>X3/T3-1</f>
        <v>-6.1688311688311681E-2</v>
      </c>
    </row>
    <row r="4" spans="1:26" s="11" customFormat="1" x14ac:dyDescent="0.2">
      <c r="A4" s="11" t="s">
        <v>126</v>
      </c>
      <c r="G4" s="12"/>
      <c r="W4" s="56"/>
      <c r="X4" s="56"/>
    </row>
    <row r="5" spans="1:26" s="27" customFormat="1" x14ac:dyDescent="0.2">
      <c r="A5" s="26" t="s">
        <v>5</v>
      </c>
      <c r="B5" s="27">
        <v>0.38</v>
      </c>
      <c r="C5" s="27">
        <v>0.4</v>
      </c>
      <c r="D5" s="27">
        <v>0.39</v>
      </c>
      <c r="E5" s="27">
        <v>0.41</v>
      </c>
      <c r="F5" s="27">
        <v>0.42</v>
      </c>
      <c r="G5" s="27">
        <v>0.42</v>
      </c>
      <c r="H5" s="27">
        <v>0.41</v>
      </c>
      <c r="I5" s="27">
        <v>0.44</v>
      </c>
      <c r="J5" s="27">
        <v>0.44</v>
      </c>
      <c r="K5" s="27">
        <v>0.44</v>
      </c>
      <c r="L5" s="27">
        <v>0.43</v>
      </c>
      <c r="M5" s="27">
        <v>0.45</v>
      </c>
      <c r="N5" s="27">
        <v>0.45</v>
      </c>
      <c r="O5" s="27">
        <v>0.46</v>
      </c>
      <c r="P5" s="27">
        <v>0.47</v>
      </c>
      <c r="Q5" s="27">
        <v>0.49</v>
      </c>
      <c r="R5" s="27">
        <v>0.5</v>
      </c>
      <c r="S5" s="27">
        <v>0.51</v>
      </c>
      <c r="T5" s="27">
        <v>0.52</v>
      </c>
      <c r="U5" s="27">
        <v>0.52</v>
      </c>
      <c r="V5" s="27">
        <v>0.51</v>
      </c>
      <c r="W5" s="27">
        <v>0.52</v>
      </c>
      <c r="X5" s="59">
        <v>0.52</v>
      </c>
      <c r="Y5" s="14">
        <f>X5-W5</f>
        <v>0</v>
      </c>
      <c r="Z5" s="14">
        <f>X5-T5</f>
        <v>0</v>
      </c>
    </row>
    <row r="6" spans="1:26" s="27" customFormat="1" x14ac:dyDescent="0.2">
      <c r="A6" s="26" t="s">
        <v>6</v>
      </c>
      <c r="B6" s="27">
        <v>0.33</v>
      </c>
      <c r="C6" s="27">
        <v>0.32</v>
      </c>
      <c r="D6" s="27">
        <v>0.33</v>
      </c>
      <c r="E6" s="27">
        <v>0.33</v>
      </c>
      <c r="F6" s="27">
        <v>0.34</v>
      </c>
      <c r="G6" s="27">
        <v>0.34</v>
      </c>
      <c r="H6" s="27">
        <v>0.36</v>
      </c>
      <c r="I6" s="27">
        <v>0.34</v>
      </c>
      <c r="J6" s="27">
        <v>0.36</v>
      </c>
      <c r="K6" s="27">
        <v>0.36</v>
      </c>
      <c r="L6" s="27">
        <v>0.35</v>
      </c>
      <c r="M6" s="27">
        <v>0.35</v>
      </c>
      <c r="N6" s="27">
        <v>0.35</v>
      </c>
      <c r="O6" s="27">
        <v>0.35</v>
      </c>
      <c r="P6" s="27">
        <v>0.34</v>
      </c>
      <c r="Q6" s="27">
        <v>0.33</v>
      </c>
      <c r="R6" s="27">
        <v>0.32</v>
      </c>
      <c r="S6" s="27">
        <v>0.31</v>
      </c>
      <c r="T6" s="27">
        <v>0.31</v>
      </c>
      <c r="U6" s="27">
        <v>0.31</v>
      </c>
      <c r="V6" s="27">
        <v>0.32</v>
      </c>
      <c r="W6" s="27">
        <v>0.32</v>
      </c>
      <c r="X6" s="59">
        <v>0.31</v>
      </c>
      <c r="Y6" s="14">
        <f t="shared" ref="Y6:Y8" si="0">X6-W6</f>
        <v>-1.0000000000000009E-2</v>
      </c>
      <c r="Z6" s="14">
        <f t="shared" ref="Z6:Z8" si="1">X6-T6</f>
        <v>0</v>
      </c>
    </row>
    <row r="7" spans="1:26" s="27" customFormat="1" x14ac:dyDescent="0.2">
      <c r="A7" s="26" t="s">
        <v>7</v>
      </c>
      <c r="B7" s="27">
        <v>0.24</v>
      </c>
      <c r="C7" s="27">
        <v>0.23</v>
      </c>
      <c r="D7" s="27">
        <v>0.24</v>
      </c>
      <c r="E7" s="27">
        <v>0.22</v>
      </c>
      <c r="F7" s="27">
        <v>0.2</v>
      </c>
      <c r="G7" s="27">
        <v>0.2</v>
      </c>
      <c r="H7" s="27">
        <v>0.19</v>
      </c>
      <c r="I7" s="27">
        <v>0.18</v>
      </c>
      <c r="J7" s="27">
        <v>0.16</v>
      </c>
      <c r="K7" s="27">
        <v>0.16</v>
      </c>
      <c r="L7" s="27">
        <v>0.17</v>
      </c>
      <c r="M7" s="27">
        <v>0.16</v>
      </c>
      <c r="N7" s="27">
        <v>0.16</v>
      </c>
      <c r="O7" s="27">
        <v>0.15</v>
      </c>
      <c r="P7" s="27">
        <v>0.15</v>
      </c>
      <c r="Q7" s="27">
        <v>0.13</v>
      </c>
      <c r="R7" s="27">
        <v>0.13</v>
      </c>
      <c r="S7" s="27">
        <v>0.13</v>
      </c>
      <c r="T7" s="27">
        <v>0.13</v>
      </c>
      <c r="U7" s="27">
        <v>0.13</v>
      </c>
      <c r="V7" s="27">
        <v>0.13</v>
      </c>
      <c r="W7" s="27">
        <v>0.12</v>
      </c>
      <c r="X7" s="59">
        <v>0.13</v>
      </c>
      <c r="Y7" s="14">
        <f t="shared" si="0"/>
        <v>1.0000000000000009E-2</v>
      </c>
      <c r="Z7" s="14">
        <f t="shared" si="1"/>
        <v>0</v>
      </c>
    </row>
    <row r="8" spans="1:26" s="27" customFormat="1" x14ac:dyDescent="0.2">
      <c r="A8" s="28" t="s">
        <v>8</v>
      </c>
      <c r="B8" s="27">
        <v>0.05</v>
      </c>
      <c r="C8" s="27">
        <v>0.05</v>
      </c>
      <c r="D8" s="27">
        <v>0.04</v>
      </c>
      <c r="E8" s="27">
        <v>0.04</v>
      </c>
      <c r="F8" s="27">
        <v>0.04</v>
      </c>
      <c r="G8" s="27">
        <v>0.04</v>
      </c>
      <c r="H8" s="27">
        <v>0.04</v>
      </c>
      <c r="I8" s="27">
        <v>0.04</v>
      </c>
      <c r="J8" s="27">
        <v>0.04</v>
      </c>
      <c r="K8" s="27">
        <v>0.04</v>
      </c>
      <c r="L8" s="27">
        <v>0.05</v>
      </c>
      <c r="M8" s="27">
        <v>0.04</v>
      </c>
      <c r="N8" s="27">
        <v>0.04</v>
      </c>
      <c r="O8" s="27">
        <v>0.04</v>
      </c>
      <c r="P8" s="27">
        <v>0.04</v>
      </c>
      <c r="Q8" s="27">
        <v>0.05</v>
      </c>
      <c r="R8" s="27">
        <v>0.05</v>
      </c>
      <c r="S8" s="27">
        <v>0.05</v>
      </c>
      <c r="T8" s="27">
        <v>0.04</v>
      </c>
      <c r="U8" s="27">
        <v>0.04</v>
      </c>
      <c r="V8" s="27">
        <v>0.04</v>
      </c>
      <c r="W8" s="27">
        <v>0.04</v>
      </c>
      <c r="X8" s="59">
        <v>0.04</v>
      </c>
      <c r="Y8" s="14">
        <f t="shared" si="0"/>
        <v>0</v>
      </c>
      <c r="Z8" s="14">
        <f t="shared" si="1"/>
        <v>0</v>
      </c>
    </row>
    <row r="9" spans="1:26" s="11" customFormat="1" x14ac:dyDescent="0.2">
      <c r="A9" s="11" t="s">
        <v>127</v>
      </c>
      <c r="G9" s="12"/>
      <c r="W9" s="56"/>
      <c r="X9" s="56"/>
    </row>
    <row r="10" spans="1:26" s="27" customFormat="1" x14ac:dyDescent="0.2">
      <c r="A10" s="26" t="s">
        <v>9</v>
      </c>
      <c r="B10" s="27">
        <v>0.44</v>
      </c>
      <c r="C10" s="27">
        <v>0.45</v>
      </c>
      <c r="D10" s="27">
        <v>0.44</v>
      </c>
      <c r="E10" s="27">
        <v>0.43</v>
      </c>
      <c r="F10" s="27">
        <v>0.43</v>
      </c>
      <c r="G10" s="27">
        <v>0.44</v>
      </c>
      <c r="H10" s="27">
        <v>0.43</v>
      </c>
      <c r="I10" s="27">
        <v>0.43</v>
      </c>
      <c r="J10" s="27">
        <v>0.42</v>
      </c>
      <c r="K10" s="27">
        <v>0.42</v>
      </c>
      <c r="L10" s="27">
        <v>0.39</v>
      </c>
      <c r="M10" s="27">
        <v>0.42</v>
      </c>
      <c r="N10" s="27">
        <v>0.41</v>
      </c>
      <c r="O10" s="27">
        <v>0.41</v>
      </c>
      <c r="P10" s="27">
        <v>0.42</v>
      </c>
      <c r="Q10" s="27">
        <v>0.41</v>
      </c>
      <c r="R10" s="27">
        <v>0.4</v>
      </c>
      <c r="S10" s="27">
        <v>0.4</v>
      </c>
      <c r="T10" s="27">
        <v>0.39</v>
      </c>
      <c r="U10" s="27">
        <v>0.39</v>
      </c>
      <c r="V10" s="27">
        <v>0.4</v>
      </c>
      <c r="W10" s="27">
        <v>0.4</v>
      </c>
      <c r="X10" s="59">
        <v>0.41</v>
      </c>
      <c r="Y10" s="14">
        <f t="shared" ref="Y10:Y11" si="2">X10-W10</f>
        <v>9.9999999999999534E-3</v>
      </c>
      <c r="Z10" s="14">
        <f t="shared" ref="Z10:Z11" si="3">X10-T10</f>
        <v>1.9999999999999962E-2</v>
      </c>
    </row>
    <row r="11" spans="1:26" s="27" customFormat="1" x14ac:dyDescent="0.2">
      <c r="A11" s="26" t="s">
        <v>10</v>
      </c>
      <c r="B11" s="27">
        <v>0.56000000000000005</v>
      </c>
      <c r="C11" s="27">
        <v>0.55000000000000004</v>
      </c>
      <c r="D11" s="27">
        <v>0.56000000000000005</v>
      </c>
      <c r="E11" s="27">
        <v>0.56999999999999995</v>
      </c>
      <c r="F11" s="27">
        <v>0.56999999999999995</v>
      </c>
      <c r="G11" s="27">
        <v>0.56000000000000005</v>
      </c>
      <c r="H11" s="27">
        <v>0.56999999999999995</v>
      </c>
      <c r="I11" s="27">
        <v>0.56999999999999995</v>
      </c>
      <c r="J11" s="27">
        <v>0.57999999999999996</v>
      </c>
      <c r="K11" s="27">
        <v>0.57999999999999996</v>
      </c>
      <c r="L11" s="27">
        <v>0.61</v>
      </c>
      <c r="M11" s="27">
        <v>0.57999999999999996</v>
      </c>
      <c r="N11" s="27">
        <v>0.59</v>
      </c>
      <c r="O11" s="27">
        <v>0.59</v>
      </c>
      <c r="P11" s="27">
        <v>0.57999999999999996</v>
      </c>
      <c r="Q11" s="27">
        <v>0.59</v>
      </c>
      <c r="R11" s="27">
        <v>0.6</v>
      </c>
      <c r="S11" s="27">
        <v>0.6</v>
      </c>
      <c r="T11" s="27">
        <v>0.61</v>
      </c>
      <c r="U11" s="27">
        <v>0.61</v>
      </c>
      <c r="V11" s="27">
        <v>0.6</v>
      </c>
      <c r="W11" s="27">
        <v>0.6</v>
      </c>
      <c r="X11" s="59">
        <v>0.59</v>
      </c>
      <c r="Y11" s="14">
        <f t="shared" si="2"/>
        <v>-1.0000000000000009E-2</v>
      </c>
      <c r="Z11" s="14">
        <f t="shared" si="3"/>
        <v>-2.0000000000000018E-2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/>
  </sheetViews>
  <sheetFormatPr baseColWidth="10" defaultColWidth="10.5703125" defaultRowHeight="16" x14ac:dyDescent="0.2"/>
  <cols>
    <col min="1" max="1" width="32.5703125" customWidth="1"/>
    <col min="2" max="2" width="26" style="19" customWidth="1"/>
    <col min="3" max="3" width="27.85546875" style="3" customWidth="1"/>
  </cols>
  <sheetData>
    <row r="1" spans="1:3" s="20" customFormat="1" x14ac:dyDescent="0.2">
      <c r="A1" s="22" t="s">
        <v>175</v>
      </c>
      <c r="B1" s="21" t="s">
        <v>131</v>
      </c>
      <c r="C1" s="5" t="s">
        <v>132</v>
      </c>
    </row>
    <row r="2" spans="1:3" x14ac:dyDescent="0.2">
      <c r="A2" t="s">
        <v>0</v>
      </c>
      <c r="B2" s="19">
        <v>2670610</v>
      </c>
      <c r="C2" s="3">
        <f>B2/B$6</f>
        <v>0.37099173863697926</v>
      </c>
    </row>
    <row r="3" spans="1:3" x14ac:dyDescent="0.2">
      <c r="A3" t="s">
        <v>1</v>
      </c>
      <c r="B3" s="19">
        <v>1120000</v>
      </c>
      <c r="C3" s="3">
        <f>B3/B$6</f>
        <v>0.15558645675460542</v>
      </c>
    </row>
    <row r="4" spans="1:3" x14ac:dyDescent="0.2">
      <c r="A4" t="s">
        <v>3</v>
      </c>
      <c r="B4" s="19">
        <v>1349715</v>
      </c>
      <c r="C4" s="3">
        <f>B4/B$6</f>
        <v>0.18749765578441274</v>
      </c>
    </row>
    <row r="5" spans="1:3" x14ac:dyDescent="0.2">
      <c r="A5" t="s">
        <v>2</v>
      </c>
      <c r="B5" s="19">
        <v>2058245</v>
      </c>
      <c r="C5" s="3">
        <f>B5/B$6</f>
        <v>0.28592414882400252</v>
      </c>
    </row>
    <row r="6" spans="1:3" s="20" customFormat="1" x14ac:dyDescent="0.2">
      <c r="A6" s="20" t="s">
        <v>130</v>
      </c>
      <c r="B6" s="21">
        <v>7198570</v>
      </c>
      <c r="C6" s="5">
        <f>B6/B$6</f>
        <v>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Informacje podstawowe</vt:lpstr>
      <vt:lpstr>R_wyników_Q</vt:lpstr>
      <vt:lpstr>R_wyników_FY</vt:lpstr>
      <vt:lpstr>Bilans</vt:lpstr>
      <vt:lpstr>Cashflow_Q</vt:lpstr>
      <vt:lpstr>Cashflow_FY</vt:lpstr>
      <vt:lpstr>Inwestycje</vt:lpstr>
      <vt:lpstr>HR</vt:lpstr>
      <vt:lpstr>Akcjonariat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LUG</dc:title>
  <dc:subject>Skonsolidowane wyniki finansowe LUG S.A.</dc:subject>
  <dc:creator>Marta Dobrołowicz</dc:creator>
  <cp:keywords/>
  <dc:description/>
  <cp:lastModifiedBy>Piotr Biernacki</cp:lastModifiedBy>
  <cp:lastPrinted>2019-11-13T13:53:53Z</cp:lastPrinted>
  <dcterms:created xsi:type="dcterms:W3CDTF">2017-05-04T17:59:23Z</dcterms:created>
  <dcterms:modified xsi:type="dcterms:W3CDTF">2019-11-14T10:25:49Z</dcterms:modified>
  <cp:category/>
</cp:coreProperties>
</file>