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.bialy\Desktop\"/>
    </mc:Choice>
  </mc:AlternateContent>
  <xr:revisionPtr revIDLastSave="0" documentId="13_ncr:1_{6E03CF7C-C7F2-4CC8-8DAC-6ED94B05BDEA}" xr6:coauthVersionLast="43" xr6:coauthVersionMax="43" xr10:uidLastSave="{00000000-0000-0000-0000-000000000000}"/>
  <bookViews>
    <workbookView xWindow="2688" yWindow="2688" windowWidth="17280" windowHeight="8964" tabRatio="1000" xr2:uid="{00000000-000D-0000-FFFF-FFFF00000000}"/>
  </bookViews>
  <sheets>
    <sheet name="Informacje podstawowe" sheetId="7" r:id="rId1"/>
    <sheet name="R_wyników_Q" sheetId="8" r:id="rId2"/>
    <sheet name="Bilans" sheetId="10" r:id="rId3"/>
    <sheet name="R_wyników_FY" sheetId="9" r:id="rId4"/>
    <sheet name="Cashflow_Q" sheetId="11" r:id="rId5"/>
    <sheet name="Cashflow_FY" sheetId="12" r:id="rId6"/>
    <sheet name="Inwestycje" sheetId="14" r:id="rId7"/>
    <sheet name="HR" sheetId="1" r:id="rId8"/>
    <sheet name="Akcjonariat" sheetId="13" r:id="rId9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1" l="1"/>
  <c r="N17" i="8"/>
  <c r="P23" i="8" l="1"/>
  <c r="O23" i="8"/>
  <c r="N7" i="14" l="1"/>
  <c r="Y11" i="1" l="1"/>
  <c r="X11" i="1"/>
  <c r="Y10" i="1"/>
  <c r="X10" i="1"/>
  <c r="Y8" i="1"/>
  <c r="X8" i="1"/>
  <c r="Y7" i="1"/>
  <c r="X7" i="1"/>
  <c r="Y6" i="1"/>
  <c r="X6" i="1"/>
  <c r="Y5" i="1"/>
  <c r="X5" i="1"/>
  <c r="Y3" i="1"/>
  <c r="X3" i="1"/>
  <c r="P6" i="14"/>
  <c r="O6" i="14"/>
  <c r="P5" i="14"/>
  <c r="O5" i="14"/>
  <c r="P4" i="14"/>
  <c r="O4" i="14"/>
  <c r="P3" i="14"/>
  <c r="O3" i="14"/>
  <c r="P2" i="14"/>
  <c r="O2" i="14"/>
  <c r="P27" i="11"/>
  <c r="O27" i="11"/>
  <c r="P26" i="11"/>
  <c r="O26" i="11"/>
  <c r="P25" i="11"/>
  <c r="O25" i="11"/>
  <c r="P23" i="11"/>
  <c r="O23" i="11"/>
  <c r="P22" i="11"/>
  <c r="O22" i="11"/>
  <c r="P21" i="11"/>
  <c r="O21" i="11"/>
  <c r="P19" i="11"/>
  <c r="O19" i="11"/>
  <c r="P18" i="11"/>
  <c r="O18" i="11"/>
  <c r="P17" i="11"/>
  <c r="O17" i="11"/>
  <c r="P16" i="11"/>
  <c r="O16" i="11"/>
  <c r="P15" i="11"/>
  <c r="O15" i="11"/>
  <c r="P13" i="11"/>
  <c r="O13" i="11"/>
  <c r="P12" i="11"/>
  <c r="O12" i="11"/>
  <c r="P11" i="11"/>
  <c r="O11" i="11"/>
  <c r="P10" i="11"/>
  <c r="O10" i="11"/>
  <c r="P9" i="11"/>
  <c r="O9" i="11"/>
  <c r="P8" i="11"/>
  <c r="O8" i="11"/>
  <c r="P7" i="11"/>
  <c r="O7" i="11"/>
  <c r="P6" i="11"/>
  <c r="O6" i="11"/>
  <c r="P5" i="11"/>
  <c r="O5" i="11"/>
  <c r="P4" i="11"/>
  <c r="O4" i="11"/>
  <c r="P3" i="11"/>
  <c r="O3" i="11"/>
  <c r="R29" i="10" l="1"/>
  <c r="Q29" i="10"/>
  <c r="R28" i="10"/>
  <c r="Q27" i="10"/>
  <c r="R26" i="10"/>
  <c r="Q26" i="10"/>
  <c r="R25" i="10"/>
  <c r="Q25" i="10"/>
  <c r="R24" i="10"/>
  <c r="Q24" i="10"/>
  <c r="R23" i="10"/>
  <c r="R22" i="10"/>
  <c r="R21" i="10"/>
  <c r="Q21" i="10"/>
  <c r="Q20" i="10"/>
  <c r="R19" i="10"/>
  <c r="Q19" i="10"/>
  <c r="R18" i="10"/>
  <c r="Q18" i="10"/>
  <c r="R17" i="10"/>
  <c r="Q17" i="10"/>
  <c r="R16" i="10"/>
  <c r="Q16" i="10"/>
  <c r="R14" i="10"/>
  <c r="R13" i="10"/>
  <c r="Q13" i="10"/>
  <c r="R12" i="10"/>
  <c r="Q12" i="10"/>
  <c r="R11" i="10"/>
  <c r="Q11" i="10"/>
  <c r="R10" i="10"/>
  <c r="Q10" i="10"/>
  <c r="R9" i="10"/>
  <c r="Q9" i="10"/>
  <c r="R8" i="10"/>
  <c r="Q8" i="10"/>
  <c r="R7" i="10"/>
  <c r="R6" i="10"/>
  <c r="Q6" i="10"/>
  <c r="R5" i="10"/>
  <c r="Q5" i="10"/>
  <c r="R4" i="10"/>
  <c r="Q4" i="10"/>
  <c r="R3" i="10"/>
  <c r="Q3" i="10"/>
  <c r="P29" i="8"/>
  <c r="O29" i="8"/>
  <c r="P28" i="8"/>
  <c r="O28" i="8"/>
  <c r="P26" i="8"/>
  <c r="O26" i="8"/>
  <c r="P25" i="8"/>
  <c r="O25" i="8"/>
  <c r="P24" i="8"/>
  <c r="O24" i="8"/>
  <c r="P22" i="8"/>
  <c r="O22" i="8"/>
  <c r="P21" i="8"/>
  <c r="O21" i="8"/>
  <c r="P19" i="8"/>
  <c r="O19" i="8"/>
  <c r="P17" i="8"/>
  <c r="O17" i="8"/>
  <c r="P16" i="8"/>
  <c r="O16" i="8"/>
  <c r="P14" i="8"/>
  <c r="O14" i="8"/>
  <c r="P12" i="8"/>
  <c r="O12" i="8"/>
  <c r="P11" i="8"/>
  <c r="O11" i="8"/>
  <c r="P9" i="8"/>
  <c r="O9" i="8"/>
  <c r="P7" i="8"/>
  <c r="P5" i="8"/>
  <c r="P3" i="8"/>
  <c r="P2" i="8"/>
  <c r="O2" i="8"/>
  <c r="N27" i="8"/>
  <c r="N20" i="8"/>
  <c r="N18" i="8"/>
  <c r="N15" i="8"/>
  <c r="N13" i="8"/>
  <c r="N10" i="8"/>
  <c r="N8" i="8"/>
  <c r="N6" i="8"/>
  <c r="N4" i="8"/>
  <c r="X6" i="14" l="1"/>
  <c r="X5" i="14"/>
  <c r="X4" i="14"/>
  <c r="X3" i="14"/>
  <c r="X2" i="14"/>
  <c r="O23" i="10" l="1"/>
  <c r="Q23" i="10" s="1"/>
  <c r="O22" i="10"/>
  <c r="Q22" i="10" s="1"/>
  <c r="O28" i="10"/>
  <c r="Q28" i="10" s="1"/>
  <c r="O14" i="10"/>
  <c r="Q14" i="10" s="1"/>
  <c r="O7" i="10"/>
  <c r="Q7" i="10" s="1"/>
  <c r="M7" i="8" l="1"/>
  <c r="O7" i="8" s="1"/>
  <c r="M7" i="14" l="1"/>
  <c r="O7" i="14" s="1"/>
  <c r="M5" i="8" l="1"/>
  <c r="O5" i="8" s="1"/>
  <c r="M3" i="8"/>
  <c r="O3" i="8" s="1"/>
  <c r="F21" i="9" l="1"/>
  <c r="L26" i="8" l="1"/>
  <c r="L23" i="8"/>
  <c r="L24" i="8"/>
  <c r="F24" i="9" s="1"/>
  <c r="L22" i="8"/>
  <c r="F22" i="9" s="1"/>
  <c r="L19" i="8"/>
  <c r="L16" i="8"/>
  <c r="L14" i="8"/>
  <c r="L12" i="8"/>
  <c r="L11" i="8"/>
  <c r="L9" i="8"/>
  <c r="L7" i="8"/>
  <c r="L2" i="8" l="1"/>
  <c r="H31" i="12" l="1"/>
  <c r="H30" i="12"/>
  <c r="H29" i="12"/>
  <c r="H27" i="12"/>
  <c r="H26" i="12"/>
  <c r="H25" i="12"/>
  <c r="H24" i="12"/>
  <c r="H20" i="12"/>
  <c r="H19" i="12"/>
  <c r="H16" i="12"/>
  <c r="H14" i="12"/>
  <c r="H8" i="12"/>
  <c r="F29" i="9"/>
  <c r="H29" i="9" s="1"/>
  <c r="H24" i="9"/>
  <c r="F23" i="9"/>
  <c r="H23" i="9" s="1"/>
  <c r="H22" i="9"/>
  <c r="H21" i="9"/>
  <c r="F16" i="9"/>
  <c r="H16" i="9" s="1"/>
  <c r="F14" i="9"/>
  <c r="H14" i="9" s="1"/>
  <c r="F12" i="9"/>
  <c r="H12" i="9" s="1"/>
  <c r="F11" i="9"/>
  <c r="H11" i="9" s="1"/>
  <c r="F7" i="9"/>
  <c r="H7" i="9" s="1"/>
  <c r="F5" i="9"/>
  <c r="H5" i="9" s="1"/>
  <c r="F26" i="9"/>
  <c r="H26" i="9" s="1"/>
  <c r="F19" i="9"/>
  <c r="H19" i="9" s="1"/>
  <c r="F17" i="9"/>
  <c r="H17" i="9" s="1"/>
  <c r="F9" i="9"/>
  <c r="H9" i="9" s="1"/>
  <c r="F3" i="9"/>
  <c r="F2" i="9"/>
  <c r="L28" i="8"/>
  <c r="F28" i="9" s="1"/>
  <c r="H28" i="9" s="1"/>
  <c r="L25" i="8"/>
  <c r="F25" i="9" s="1"/>
  <c r="H25" i="9" s="1"/>
  <c r="L20" i="8"/>
  <c r="L15" i="8"/>
  <c r="L13" i="8"/>
  <c r="L10" i="8"/>
  <c r="L6" i="8"/>
  <c r="H3" i="9" l="1"/>
  <c r="F27" i="9"/>
  <c r="H2" i="9"/>
  <c r="F8" i="9"/>
  <c r="F18" i="9"/>
  <c r="F15" i="9"/>
  <c r="F10" i="9"/>
  <c r="F20" i="9"/>
  <c r="F6" i="9"/>
  <c r="F4" i="9"/>
  <c r="F13" i="9"/>
  <c r="L8" i="8"/>
  <c r="L4" i="8"/>
  <c r="L18" i="8"/>
  <c r="L27" i="8"/>
  <c r="L13" i="11" l="1"/>
  <c r="L7" i="11" l="1"/>
  <c r="F7" i="12" l="1"/>
  <c r="H7" i="12" s="1"/>
  <c r="L25" i="11"/>
  <c r="L23" i="11"/>
  <c r="L22" i="11"/>
  <c r="L21" i="11"/>
  <c r="L19" i="11"/>
  <c r="L18" i="11"/>
  <c r="L17" i="11"/>
  <c r="L16" i="11"/>
  <c r="L15" i="11"/>
  <c r="L12" i="11"/>
  <c r="L11" i="11"/>
  <c r="L10" i="11"/>
  <c r="L9" i="11"/>
  <c r="L8" i="11"/>
  <c r="L6" i="11"/>
  <c r="L5" i="11"/>
  <c r="L4" i="11"/>
  <c r="L3" i="11"/>
  <c r="F4" i="12" l="1"/>
  <c r="H4" i="12" s="1"/>
  <c r="F3" i="12"/>
  <c r="H3" i="12" s="1"/>
  <c r="F13" i="12"/>
  <c r="H13" i="12" s="1"/>
  <c r="F10" i="12"/>
  <c r="H10" i="12" s="1"/>
  <c r="F5" i="12"/>
  <c r="H5" i="12" s="1"/>
  <c r="F11" i="12"/>
  <c r="H11" i="12" s="1"/>
  <c r="F17" i="12"/>
  <c r="H17" i="12" s="1"/>
  <c r="F22" i="12"/>
  <c r="H22" i="12" s="1"/>
  <c r="F9" i="12"/>
  <c r="H9" i="12" s="1"/>
  <c r="F6" i="12"/>
  <c r="H6" i="12" s="1"/>
  <c r="F12" i="12"/>
  <c r="H12" i="12" s="1"/>
  <c r="F18" i="12"/>
  <c r="H18" i="12" s="1"/>
  <c r="F23" i="12"/>
  <c r="H23" i="12" s="1"/>
  <c r="K7" i="14" l="1"/>
  <c r="M25" i="10"/>
  <c r="M21" i="10"/>
  <c r="M16" i="10"/>
  <c r="K27" i="8"/>
  <c r="K20" i="8"/>
  <c r="K18" i="8"/>
  <c r="K15" i="8"/>
  <c r="K13" i="8"/>
  <c r="K10" i="8"/>
  <c r="K8" i="8"/>
  <c r="K6" i="8"/>
  <c r="K4" i="8"/>
  <c r="L7" i="14" l="1"/>
  <c r="J7" i="14"/>
  <c r="P7" i="14" s="1"/>
  <c r="F5" i="14"/>
  <c r="R5" i="14" s="1"/>
  <c r="G7" i="14"/>
  <c r="S6" i="14"/>
  <c r="R6" i="14"/>
  <c r="S5" i="14"/>
  <c r="S4" i="14"/>
  <c r="R4" i="14"/>
  <c r="S3" i="14"/>
  <c r="R3" i="14"/>
  <c r="S2" i="14"/>
  <c r="R2" i="14"/>
  <c r="L27" i="10"/>
  <c r="R27" i="10" s="1"/>
  <c r="L20" i="10"/>
  <c r="R20" i="10" s="1"/>
  <c r="I28" i="10"/>
  <c r="I14" i="10"/>
  <c r="M27" i="8"/>
  <c r="O27" i="8" s="1"/>
  <c r="G27" i="8"/>
  <c r="J27" i="8"/>
  <c r="P27" i="8" s="1"/>
  <c r="M20" i="8"/>
  <c r="O20" i="8" s="1"/>
  <c r="G20" i="8"/>
  <c r="J20" i="8"/>
  <c r="P20" i="8" s="1"/>
  <c r="M18" i="8"/>
  <c r="O18" i="8" s="1"/>
  <c r="G18" i="8"/>
  <c r="J18" i="8"/>
  <c r="P18" i="8" s="1"/>
  <c r="M15" i="8"/>
  <c r="O15" i="8" s="1"/>
  <c r="G15" i="8"/>
  <c r="J15" i="8"/>
  <c r="P15" i="8" s="1"/>
  <c r="M10" i="8"/>
  <c r="O10" i="8" s="1"/>
  <c r="G10" i="8"/>
  <c r="J10" i="8"/>
  <c r="P10" i="8" s="1"/>
  <c r="M8" i="8"/>
  <c r="O8" i="8" s="1"/>
  <c r="G8" i="8"/>
  <c r="J8" i="8"/>
  <c r="P8" i="8" s="1"/>
  <c r="M6" i="8"/>
  <c r="O6" i="8" s="1"/>
  <c r="G6" i="8"/>
  <c r="J6" i="8"/>
  <c r="P6" i="8" s="1"/>
  <c r="M13" i="8"/>
  <c r="O13" i="8" s="1"/>
  <c r="G13" i="8"/>
  <c r="J13" i="8"/>
  <c r="P13" i="8" s="1"/>
  <c r="M4" i="8"/>
  <c r="O4" i="8" s="1"/>
  <c r="G4" i="8"/>
  <c r="J4" i="8"/>
  <c r="P4" i="8" s="1"/>
  <c r="F27" i="8"/>
  <c r="I27" i="8"/>
  <c r="F20" i="8"/>
  <c r="I20" i="8"/>
  <c r="F18" i="8"/>
  <c r="I18" i="8"/>
  <c r="F15" i="8"/>
  <c r="I15" i="8"/>
  <c r="F13" i="8"/>
  <c r="I13" i="8"/>
  <c r="F10" i="8"/>
  <c r="F8" i="8"/>
  <c r="I8" i="8"/>
  <c r="F6" i="8"/>
  <c r="I6" i="8"/>
  <c r="F4" i="8"/>
  <c r="I4" i="8"/>
  <c r="I10" i="8"/>
  <c r="I6" i="14"/>
  <c r="I5" i="14"/>
  <c r="I4" i="14"/>
  <c r="I3" i="14"/>
  <c r="I2" i="14"/>
  <c r="E4" i="9"/>
  <c r="H4" i="9" s="1"/>
  <c r="E27" i="9"/>
  <c r="H27" i="9" s="1"/>
  <c r="E20" i="9"/>
  <c r="H20" i="9" s="1"/>
  <c r="E18" i="9"/>
  <c r="H18" i="9" s="1"/>
  <c r="E15" i="9"/>
  <c r="H15" i="9" s="1"/>
  <c r="E13" i="9"/>
  <c r="H13" i="9" s="1"/>
  <c r="E10" i="9"/>
  <c r="H10" i="9" s="1"/>
  <c r="E8" i="9"/>
  <c r="H8" i="9" s="1"/>
  <c r="E6" i="9"/>
  <c r="H6" i="9" s="1"/>
  <c r="H10" i="8"/>
  <c r="H2" i="14"/>
  <c r="H4" i="14"/>
  <c r="W4" i="14" s="1"/>
  <c r="H6" i="14"/>
  <c r="B7" i="14"/>
  <c r="C7" i="14"/>
  <c r="D7" i="14"/>
  <c r="J28" i="10"/>
  <c r="J14" i="10"/>
  <c r="H27" i="8"/>
  <c r="D27" i="8"/>
  <c r="H20" i="8"/>
  <c r="D20" i="8"/>
  <c r="H18" i="8"/>
  <c r="D18" i="8"/>
  <c r="H15" i="8"/>
  <c r="D15" i="8"/>
  <c r="H13" i="8"/>
  <c r="D13" i="8"/>
  <c r="D10" i="8"/>
  <c r="H8" i="8"/>
  <c r="D8" i="8"/>
  <c r="H6" i="8"/>
  <c r="D6" i="8"/>
  <c r="H4" i="8"/>
  <c r="D4" i="8"/>
  <c r="C3" i="13"/>
  <c r="C4" i="13"/>
  <c r="C5" i="13"/>
  <c r="C6" i="13"/>
  <c r="C2" i="13"/>
  <c r="E7" i="14"/>
  <c r="D27" i="9"/>
  <c r="C27" i="9"/>
  <c r="B27" i="9"/>
  <c r="D20" i="9"/>
  <c r="C20" i="9"/>
  <c r="B20" i="9"/>
  <c r="D18" i="9"/>
  <c r="C18" i="9"/>
  <c r="B18" i="9"/>
  <c r="D15" i="9"/>
  <c r="C15" i="9"/>
  <c r="B15" i="9"/>
  <c r="D13" i="9"/>
  <c r="C13" i="9"/>
  <c r="B13" i="9"/>
  <c r="D10" i="9"/>
  <c r="C10" i="9"/>
  <c r="B10" i="9"/>
  <c r="D8" i="9"/>
  <c r="C8" i="9"/>
  <c r="B8" i="9"/>
  <c r="D6" i="9"/>
  <c r="C6" i="9"/>
  <c r="B6" i="9"/>
  <c r="D4" i="9"/>
  <c r="C4" i="9"/>
  <c r="B4" i="9"/>
  <c r="B27" i="8"/>
  <c r="E27" i="8"/>
  <c r="C27" i="8"/>
  <c r="B20" i="8"/>
  <c r="E20" i="8"/>
  <c r="C20" i="8"/>
  <c r="B18" i="8"/>
  <c r="E18" i="8"/>
  <c r="C18" i="8"/>
  <c r="B15" i="8"/>
  <c r="E15" i="8"/>
  <c r="C15" i="8"/>
  <c r="B13" i="8"/>
  <c r="E13" i="8"/>
  <c r="C13" i="8"/>
  <c r="B10" i="8"/>
  <c r="E10" i="8"/>
  <c r="C10" i="8"/>
  <c r="B8" i="8"/>
  <c r="E8" i="8"/>
  <c r="C8" i="8"/>
  <c r="B6" i="8"/>
  <c r="E6" i="8"/>
  <c r="C6" i="8"/>
  <c r="B4" i="8"/>
  <c r="E4" i="8"/>
  <c r="C4" i="8"/>
  <c r="X7" i="14" l="1"/>
  <c r="W2" i="14"/>
  <c r="Z2" i="14" s="1"/>
  <c r="W3" i="14"/>
  <c r="Z3" i="14" s="1"/>
  <c r="W5" i="14"/>
  <c r="Z5" i="14" s="1"/>
  <c r="W6" i="14"/>
  <c r="Z6" i="14" s="1"/>
  <c r="F7" i="14"/>
  <c r="H7" i="14"/>
  <c r="U2" i="14"/>
  <c r="U4" i="14"/>
  <c r="U6" i="14"/>
  <c r="U3" i="14"/>
  <c r="U5" i="14"/>
  <c r="Z4" i="14"/>
  <c r="I7" i="14"/>
  <c r="S7" i="14"/>
  <c r="R7" i="14" l="1"/>
  <c r="U7" i="14" s="1"/>
  <c r="W7" i="14"/>
  <c r="Z7" i="14" s="1"/>
</calcChain>
</file>

<file path=xl/sharedStrings.xml><?xml version="1.0" encoding="utf-8"?>
<sst xmlns="http://schemas.openxmlformats.org/spreadsheetml/2006/main" count="288" uniqueCount="172">
  <si>
    <t>Ryszard Wtorkowski</t>
  </si>
  <si>
    <t>Iwona Wtorkowska</t>
  </si>
  <si>
    <t>Pozostali akcjonariusze</t>
  </si>
  <si>
    <t>Fundusze zarządzane przez OPERA TFI</t>
  </si>
  <si>
    <t>Liczba pracowników</t>
  </si>
  <si>
    <t>wyższe</t>
  </si>
  <si>
    <t>średnie</t>
  </si>
  <si>
    <t>zawodowe</t>
  </si>
  <si>
    <t>podstawowe</t>
  </si>
  <si>
    <t>kobiety</t>
  </si>
  <si>
    <t>mężczyźni</t>
  </si>
  <si>
    <t>Przychody ze sprzedaży</t>
  </si>
  <si>
    <t>Koszty sprzedanych produktów, towarów i materiałów</t>
  </si>
  <si>
    <t>Zysk brutto na sprzedaży</t>
  </si>
  <si>
    <t>Pozostałe przychody operacyjne</t>
  </si>
  <si>
    <t>Koszty sprzedaży</t>
  </si>
  <si>
    <t>Koszty ogólnego zarządu</t>
  </si>
  <si>
    <t>Zysk na działalności operacyjnej</t>
  </si>
  <si>
    <t>Przychody finansowe</t>
  </si>
  <si>
    <t>Koszty finansowe</t>
  </si>
  <si>
    <t>Zysk przed opodatkowaniem</t>
  </si>
  <si>
    <t>Podatek dochodowy</t>
  </si>
  <si>
    <t>Zysk netto z działalności kontynuowanej</t>
  </si>
  <si>
    <t>Zysk netto należny akcjonariuszom jednostki dominującej</t>
  </si>
  <si>
    <t>Zysk netto na jedną akcję (zł)</t>
  </si>
  <si>
    <t>Pozostałe koszty operacyjne</t>
  </si>
  <si>
    <t>Zysk netto</t>
  </si>
  <si>
    <t>31.03.2016.</t>
  </si>
  <si>
    <t>30.06.2016.</t>
  </si>
  <si>
    <t>30.09.2016.</t>
  </si>
  <si>
    <t>31.12.2016.</t>
  </si>
  <si>
    <t>31.03.2017.</t>
  </si>
  <si>
    <t>Aktywa trwałe</t>
  </si>
  <si>
    <t>Rzeczowe aktywa trwałe</t>
  </si>
  <si>
    <t>Wartości niematerialne</t>
  </si>
  <si>
    <t>Aktywa z tytułu odroczonego podatku dochodowego</t>
  </si>
  <si>
    <t>Należności długoterminowe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</si>
  <si>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</si>
  <si>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</si>
  <si>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</si>
  <si>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</si>
  <si>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</si>
  <si>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</si>
  <si>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razem</t>
  </si>
  <si>
    <t>Kapitał własny</t>
  </si>
  <si>
    <t>Zobowiązania długoterminowe</t>
  </si>
  <si>
    <t>Zobowiązania krótkoterminowe</t>
  </si>
  <si>
    <t>Pasywa razem</t>
  </si>
  <si>
    <t>Wartość księgowa na akcję (zł)</t>
  </si>
  <si>
    <t>Bilans</t>
  </si>
  <si>
    <t>Działalność operacyjna</t>
  </si>
  <si>
    <t>Korekty razem</t>
  </si>
  <si>
    <t>Amortyzacja</t>
  </si>
  <si>
    <t>Zyski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</si>
  <si>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</si>
  <si>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</si>
  <si>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</si>
  <si>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</si>
  <si>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krótkoterminowych, z wyjątkiem pożyczek i kredytów</t>
  </si>
  <si>
    <t>Zmiana stanu rozliczeń międzyokresowych</t>
  </si>
  <si>
    <t>Przepływy pieniężne netto z działalności operacyjnej</t>
  </si>
  <si>
    <t>Działalność inwestycyjna</t>
  </si>
  <si>
    <t>Wpływy</t>
  </si>
  <si>
    <t>Wydatki</t>
  </si>
  <si>
    <t>Nabycie wartości niematerialnych i prawnych oraz rzeczowych aktywów trwałych</t>
  </si>
  <si>
    <t>Przepływy pieniężne netto z działalności inwestycyjnej</t>
  </si>
  <si>
    <t>Działalność finansowa</t>
  </si>
  <si>
    <t>Przepływy pieniężne netto z działalności finansowej</t>
  </si>
  <si>
    <t>Przepływy pieniężne netto razem</t>
  </si>
  <si>
    <t>Środki pieniężne na początku okresu</t>
  </si>
  <si>
    <t>Środki pieniężne na koniec okresu</t>
  </si>
  <si>
    <t>Zbycie wartości niematerialnych i prawnych oraz rzeczowych aktywów trwałych</t>
  </si>
  <si>
    <t>Inwestycje</t>
  </si>
  <si>
    <t>Sprzęt IT, oprogramowanie</t>
  </si>
  <si>
    <t>Samochody i wózki</t>
  </si>
  <si>
    <t>Maszyny i urządzenia specjalistyczne</t>
  </si>
  <si>
    <t>Wartość prac rozwojowych</t>
  </si>
  <si>
    <t>Zmiana y/y</t>
  </si>
  <si>
    <t>Zmiana q/q</t>
  </si>
  <si>
    <t>Inwestycje razem</t>
  </si>
  <si>
    <t>Koszty sprzedaży jako % przychodów</t>
  </si>
  <si>
    <t>Koszty ogólnego zarządu jako % przychodów</t>
  </si>
  <si>
    <t>EBITDA</t>
  </si>
  <si>
    <t>Rentowność brutto na sprzedaży</t>
  </si>
  <si>
    <t>Rentowność EBITDA</t>
  </si>
  <si>
    <t>Rentowność operacyjna</t>
  </si>
  <si>
    <t>Rentowność netto</t>
  </si>
  <si>
    <t>Pasywa</t>
  </si>
  <si>
    <t>Aktywa</t>
  </si>
  <si>
    <t>Długoterminowe kredyty i pożyczki</t>
  </si>
  <si>
    <t>Pozostałe długoterminowe zobowiązania finansowe</t>
  </si>
  <si>
    <t>Długoterminowe rozliczenia międzyokresowe przychodów</t>
  </si>
  <si>
    <t>Krótkoterminowe kredyty i pożyczki</t>
  </si>
  <si>
    <t>Pozostałe krótkoterminowe zobowiązania finansowe</t>
  </si>
  <si>
    <t>Krótkoterminowe zobowiązania handlowe</t>
  </si>
  <si>
    <t>Pozostałe krótkoterminowe zobowiązania</t>
  </si>
  <si>
    <t>2015Q2</t>
  </si>
  <si>
    <t>2015Q3</t>
  </si>
  <si>
    <t>2015Q4</t>
  </si>
  <si>
    <t>Kapitał akcjonariuszy mniejszościowych</t>
  </si>
  <si>
    <t>Wyposażenie</t>
  </si>
  <si>
    <t>2016Q1</t>
  </si>
  <si>
    <t>2016Q2</t>
  </si>
  <si>
    <t>2016Q3</t>
  </si>
  <si>
    <t>2016Q4</t>
  </si>
  <si>
    <t>2017Q1</t>
  </si>
  <si>
    <t>przychody kraj</t>
  </si>
  <si>
    <t>% przychodów z kraju</t>
  </si>
  <si>
    <t>przychody zagranica</t>
  </si>
  <si>
    <t>% przychodów z zagranicy</t>
  </si>
  <si>
    <t>Pozostałe rezerwy krótkoterminowe</t>
  </si>
  <si>
    <t>Zysk z działalności inwestycyjnej</t>
  </si>
  <si>
    <t>Spłaty kredytów i pożyczek</t>
  </si>
  <si>
    <t>Płatność zobowiązań z tytułu umów leasingu finansowego</t>
  </si>
  <si>
    <t>Odsetki</t>
  </si>
  <si>
    <t>Koszty sprzedanych produktów, towarów i materiałów jako % przychodów</t>
  </si>
  <si>
    <t>[mln zł, %, pp]</t>
  </si>
  <si>
    <t>31.12.2014.</t>
  </si>
  <si>
    <t>31.12.2015.</t>
  </si>
  <si>
    <t>[mln zł, %]</t>
  </si>
  <si>
    <t>Środki pieniężne</t>
  </si>
  <si>
    <t>2014Q1</t>
  </si>
  <si>
    <t>2014Q2</t>
  </si>
  <si>
    <t>2014Q3</t>
  </si>
  <si>
    <t>2014Q4</t>
  </si>
  <si>
    <t>2015Q1</t>
  </si>
  <si>
    <t>Struktura zatrudnienia wg wykształcenia</t>
  </si>
  <si>
    <t>Struktura zatrudnienia wg płci</t>
  </si>
  <si>
    <t>[liczba osób, %]</t>
  </si>
  <si>
    <t>Liczba pracowników w grupie kapitałowej</t>
  </si>
  <si>
    <t>Razem</t>
  </si>
  <si>
    <t>Liczba akcji i głosów</t>
  </si>
  <si>
    <t>Udział % w kapitale i w głosach</t>
  </si>
  <si>
    <t>Spis treści</t>
  </si>
  <si>
    <t>Dane na temat zatrudnienia</t>
  </si>
  <si>
    <t>Akcjonariat</t>
  </si>
  <si>
    <t>dane kwartalne</t>
  </si>
  <si>
    <t>dane roczne</t>
  </si>
  <si>
    <t>Rachunek wyników:</t>
  </si>
  <si>
    <t>Rachunek przepływów pieniężnych:</t>
  </si>
  <si>
    <t>Podstawowe informacje</t>
  </si>
  <si>
    <t>Nazwa:</t>
  </si>
  <si>
    <t>LUG S.A.</t>
  </si>
  <si>
    <t>Rynek notowań:</t>
  </si>
  <si>
    <t>Branża:</t>
  </si>
  <si>
    <t>Ticker:</t>
  </si>
  <si>
    <t>NewConnect</t>
  </si>
  <si>
    <t>LUG</t>
  </si>
  <si>
    <t>ISIN:</t>
  </si>
  <si>
    <t>PLLUG0000010</t>
  </si>
  <si>
    <t>Instalacje budowlane i telekomunikacyjne</t>
  </si>
  <si>
    <t>2017Q2</t>
  </si>
  <si>
    <t>2017H1</t>
  </si>
  <si>
    <t>2017Q3</t>
  </si>
  <si>
    <t>30.09.2017</t>
  </si>
  <si>
    <t>30.06.2017</t>
  </si>
  <si>
    <t>31.12.2017.</t>
  </si>
  <si>
    <t>2017Q4</t>
  </si>
  <si>
    <t>2018Q1</t>
  </si>
  <si>
    <t>31.03.2018</t>
  </si>
  <si>
    <t>2018Q2</t>
  </si>
  <si>
    <t>2018H1</t>
  </si>
  <si>
    <t>30.06.2018</t>
  </si>
  <si>
    <t>2018Q3</t>
  </si>
  <si>
    <t>30.09.2018</t>
  </si>
  <si>
    <t>2018Q4</t>
  </si>
  <si>
    <t>2018Q1-4</t>
  </si>
  <si>
    <t>31.12.2018</t>
  </si>
  <si>
    <t>2017Q1-4</t>
  </si>
  <si>
    <t>2019Q1</t>
  </si>
  <si>
    <t>31.03.2019</t>
  </si>
  <si>
    <t>Stan na dzień: 31.03.2019.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</si>
</sst>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0.0000"/>
  </numFmts>
  <fonts count="18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70C0"/>
      <name val="Arial"/>
      <family val="2"/>
      <scheme val="minor"/>
    </font>
    <font>
      <i/>
      <sz val="12"/>
      <color theme="1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2" fontId="0" fillId="0" borderId="0" xfId="0" applyNumberFormat="1" applyFont="1"/>
    <xf numFmtId="165" fontId="8" fillId="0" borderId="0" xfId="27" applyNumberFormat="1" applyFont="1"/>
    <xf numFmtId="165" fontId="0" fillId="0" borderId="0" xfId="27" applyNumberFormat="1" applyFont="1"/>
    <xf numFmtId="2" fontId="7" fillId="0" borderId="0" xfId="0" applyNumberFormat="1" applyFont="1"/>
    <xf numFmtId="165" fontId="7" fillId="0" borderId="0" xfId="27" applyNumberFormat="1" applyFont="1"/>
    <xf numFmtId="2" fontId="9" fillId="0" borderId="0" xfId="0" applyNumberFormat="1" applyFont="1"/>
    <xf numFmtId="2" fontId="7" fillId="2" borderId="0" xfId="0" applyNumberFormat="1" applyFont="1" applyFill="1"/>
    <xf numFmtId="2" fontId="0" fillId="2" borderId="0" xfId="0" applyNumberFormat="1" applyFont="1" applyFill="1"/>
    <xf numFmtId="165" fontId="8" fillId="2" borderId="0" xfId="27" applyNumberFormat="1" applyFont="1" applyFill="1"/>
    <xf numFmtId="2" fontId="0" fillId="0" borderId="0" xfId="0" applyNumberFormat="1"/>
    <xf numFmtId="2" fontId="6" fillId="3" borderId="0" xfId="0" applyNumberFormat="1" applyFont="1" applyFill="1"/>
    <xf numFmtId="165" fontId="6" fillId="3" borderId="0" xfId="27" applyNumberFormat="1" applyFont="1" applyFill="1"/>
    <xf numFmtId="2" fontId="0" fillId="2" borderId="0" xfId="0" applyNumberFormat="1" applyFill="1"/>
    <xf numFmtId="165" fontId="2" fillId="0" borderId="0" xfId="27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2" borderId="0" xfId="0" applyFont="1" applyFill="1"/>
    <xf numFmtId="0" fontId="12" fillId="2" borderId="0" xfId="0" applyFont="1" applyFill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4" fillId="0" borderId="0" xfId="211"/>
    <xf numFmtId="0" fontId="0" fillId="0" borderId="0" xfId="0" applyAlignment="1">
      <alignment horizontal="right"/>
    </xf>
    <xf numFmtId="4" fontId="1" fillId="2" borderId="0" xfId="27" applyNumberFormat="1" applyFont="1" applyFill="1"/>
    <xf numFmtId="9" fontId="13" fillId="0" borderId="0" xfId="27" applyFont="1" applyAlignment="1">
      <alignment horizontal="left" vertical="center"/>
    </xf>
    <xf numFmtId="9" fontId="12" fillId="0" borderId="0" xfId="27" applyFont="1"/>
    <xf numFmtId="9" fontId="12" fillId="2" borderId="0" xfId="27" applyFont="1" applyFill="1"/>
    <xf numFmtId="9" fontId="13" fillId="0" borderId="0" xfId="27" applyFont="1" applyAlignment="1">
      <alignment horizontal="left"/>
    </xf>
    <xf numFmtId="2" fontId="7" fillId="0" borderId="0" xfId="0" applyNumberFormat="1" applyFont="1" applyFill="1"/>
    <xf numFmtId="2" fontId="0" fillId="0" borderId="0" xfId="0" applyNumberFormat="1" applyFont="1" applyFill="1"/>
    <xf numFmtId="165" fontId="8" fillId="0" borderId="0" xfId="27" applyNumberFormat="1" applyFont="1" applyFill="1"/>
    <xf numFmtId="49" fontId="7" fillId="2" borderId="0" xfId="0" applyNumberFormat="1" applyFont="1" applyFill="1"/>
    <xf numFmtId="2" fontId="0" fillId="0" borderId="0" xfId="0" applyNumberFormat="1" applyFill="1"/>
    <xf numFmtId="1" fontId="7" fillId="0" borderId="0" xfId="0" applyNumberFormat="1" applyFont="1" applyFill="1"/>
    <xf numFmtId="2" fontId="14" fillId="0" borderId="0" xfId="0" applyNumberFormat="1" applyFont="1"/>
    <xf numFmtId="2" fontId="14" fillId="0" borderId="0" xfId="0" applyNumberFormat="1" applyFont="1" applyFill="1"/>
    <xf numFmtId="10" fontId="0" fillId="0" borderId="0" xfId="27" applyNumberFormat="1" applyFont="1"/>
    <xf numFmtId="4" fontId="7" fillId="2" borderId="0" xfId="27" applyNumberFormat="1" applyFont="1" applyFill="1"/>
    <xf numFmtId="2" fontId="15" fillId="2" borderId="0" xfId="0" applyNumberFormat="1" applyFont="1" applyFill="1"/>
    <xf numFmtId="49" fontId="7" fillId="0" borderId="0" xfId="0" applyNumberFormat="1" applyFont="1" applyFill="1"/>
    <xf numFmtId="2" fontId="15" fillId="0" borderId="0" xfId="0" applyNumberFormat="1" applyFont="1" applyFill="1"/>
    <xf numFmtId="2" fontId="0" fillId="0" borderId="0" xfId="0" quotePrefix="1" applyNumberFormat="1" applyFont="1" applyFill="1"/>
    <xf numFmtId="166" fontId="0" fillId="0" borderId="0" xfId="0" applyNumberFormat="1" applyFill="1"/>
    <xf numFmtId="164" fontId="0" fillId="0" borderId="0" xfId="384" applyFont="1" applyFill="1"/>
    <xf numFmtId="2" fontId="0" fillId="0" borderId="1" xfId="0" applyNumberFormat="1" applyFont="1" applyBorder="1"/>
    <xf numFmtId="165" fontId="8" fillId="0" borderId="0" xfId="27" applyNumberFormat="1" applyFont="1" applyBorder="1"/>
    <xf numFmtId="165" fontId="8" fillId="0" borderId="0" xfId="27" applyNumberFormat="1" applyFont="1" applyFill="1" applyBorder="1"/>
    <xf numFmtId="165" fontId="8" fillId="2" borderId="0" xfId="27" applyNumberFormat="1" applyFont="1" applyFill="1" applyBorder="1"/>
    <xf numFmtId="2" fontId="0" fillId="0" borderId="0" xfId="0" applyNumberFormat="1" applyFont="1" applyBorder="1"/>
    <xf numFmtId="2" fontId="0" fillId="0" borderId="0" xfId="0" applyNumberFormat="1" applyFont="1" applyFill="1" applyBorder="1"/>
    <xf numFmtId="2" fontId="0" fillId="2" borderId="0" xfId="0" applyNumberFormat="1" applyFont="1" applyFill="1" applyBorder="1"/>
    <xf numFmtId="165" fontId="0" fillId="0" borderId="0" xfId="27" applyNumberFormat="1" applyFont="1" applyBorder="1"/>
    <xf numFmtId="2" fontId="0" fillId="0" borderId="1" xfId="0" applyNumberFormat="1" applyFont="1" applyFill="1" applyBorder="1"/>
    <xf numFmtId="2" fontId="0" fillId="2" borderId="1" xfId="0" applyNumberFormat="1" applyFont="1" applyFill="1" applyBorder="1"/>
    <xf numFmtId="165" fontId="0" fillId="0" borderId="1" xfId="27" applyNumberFormat="1" applyFont="1" applyBorder="1"/>
    <xf numFmtId="2" fontId="16" fillId="0" borderId="0" xfId="0" applyNumberFormat="1" applyFont="1"/>
    <xf numFmtId="0" fontId="0" fillId="0" borderId="0" xfId="27" applyNumberFormat="1" applyFont="1"/>
    <xf numFmtId="2" fontId="14" fillId="3" borderId="0" xfId="0" applyNumberFormat="1" applyFont="1" applyFill="1"/>
    <xf numFmtId="2" fontId="14" fillId="2" borderId="0" xfId="0" applyNumberFormat="1" applyFont="1" applyFill="1"/>
    <xf numFmtId="165" fontId="17" fillId="0" borderId="0" xfId="27" applyNumberFormat="1" applyFont="1" applyFill="1"/>
    <xf numFmtId="165" fontId="17" fillId="2" borderId="0" xfId="27" applyNumberFormat="1" applyFont="1" applyFill="1"/>
    <xf numFmtId="165" fontId="0" fillId="0" borderId="0" xfId="27" applyNumberFormat="1" applyFont="1" applyFill="1"/>
    <xf numFmtId="1" fontId="7" fillId="2" borderId="0" xfId="0" applyNumberFormat="1" applyFont="1" applyFill="1" applyAlignment="1">
      <alignment horizontal="right"/>
    </xf>
    <xf numFmtId="2" fontId="16" fillId="0" borderId="0" xfId="0" applyNumberFormat="1" applyFont="1" applyFill="1"/>
    <xf numFmtId="165" fontId="14" fillId="0" borderId="0" xfId="27" applyNumberFormat="1" applyFont="1" applyFill="1"/>
    <xf numFmtId="165" fontId="15" fillId="0" borderId="0" xfId="27" applyNumberFormat="1" applyFont="1" applyFill="1"/>
    <xf numFmtId="165" fontId="14" fillId="0" borderId="0" xfId="27" applyNumberFormat="1" applyFont="1"/>
    <xf numFmtId="1" fontId="14" fillId="0" borderId="0" xfId="0" applyNumberFormat="1" applyFont="1" applyFill="1" applyAlignment="1">
      <alignment horizontal="right"/>
    </xf>
  </cellXfs>
  <cellStyles count="385">
    <cellStyle name="Dziesiętny" xfId="384" builtinId="3"/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8" builtinId="8" hidden="1"/>
    <cellStyle name="Hiperłącze" xfId="30" builtinId="8" hidden="1"/>
    <cellStyle name="Hiperłącze" xfId="32" builtinId="8" hidden="1"/>
    <cellStyle name="Hiperłącze" xfId="34" builtinId="8" hidden="1"/>
    <cellStyle name="Hiperłącze" xfId="36" builtinId="8" hidden="1"/>
    <cellStyle name="Hiperłącze" xfId="38" builtinId="8" hidden="1"/>
    <cellStyle name="Hiperłącze" xfId="40" builtinId="8" hidden="1"/>
    <cellStyle name="Hiperłącze" xfId="42" builtinId="8" hidden="1"/>
    <cellStyle name="Hiperłącze" xfId="44" builtinId="8" hidden="1"/>
    <cellStyle name="Hiperłącze" xfId="46" builtinId="8" hidden="1"/>
    <cellStyle name="Hiperłącze" xfId="48" builtinId="8" hidden="1"/>
    <cellStyle name="Hiperłącze" xfId="50" builtinId="8" hidden="1"/>
    <cellStyle name="Hiperłącze" xfId="52" builtinId="8" hidden="1"/>
    <cellStyle name="Hiperłącze" xfId="54" builtinId="8" hidden="1"/>
    <cellStyle name="Hiperłącze" xfId="56" builtinId="8" hidden="1"/>
    <cellStyle name="Hiperłącze" xfId="58" builtinId="8" hidden="1"/>
    <cellStyle name="Hiperłącze" xfId="60" builtinId="8" hidden="1"/>
    <cellStyle name="Hiperłącze" xfId="62" builtinId="8" hidden="1"/>
    <cellStyle name="Hiperłącze" xfId="64" builtinId="8" hidden="1"/>
    <cellStyle name="Hiperłącze" xfId="66" builtinId="8" hidden="1"/>
    <cellStyle name="Hiperłącze" xfId="68" builtinId="8" hidden="1"/>
    <cellStyle name="Hiperłącze" xfId="70" builtinId="8" hidden="1"/>
    <cellStyle name="Hiperłącze" xfId="72" builtinId="8" hidden="1"/>
    <cellStyle name="Hiperłącze" xfId="74" builtinId="8" hidden="1"/>
    <cellStyle name="Hiperłącze" xfId="76" builtinId="8" hidden="1"/>
    <cellStyle name="Hiperłącze" xfId="78" builtinId="8" hidden="1"/>
    <cellStyle name="Hiperłącze" xfId="80" builtinId="8" hidden="1"/>
    <cellStyle name="Hiperłącze" xfId="82" builtinId="8" hidden="1"/>
    <cellStyle name="Hiperłącze" xfId="84" builtinId="8" hidden="1"/>
    <cellStyle name="Hiperłącze" xfId="86" builtinId="8" hidden="1"/>
    <cellStyle name="Hiperłącze" xfId="88" builtinId="8" hidden="1"/>
    <cellStyle name="Hiperłącze" xfId="90" builtinId="8" hidden="1"/>
    <cellStyle name="Hiperłącze" xfId="92" builtinId="8" hidden="1"/>
    <cellStyle name="Hiperłącze" xfId="94" builtinId="8" hidden="1"/>
    <cellStyle name="Hiperłącze" xfId="96" builtinId="8" hidden="1"/>
    <cellStyle name="Hiperłącze" xfId="98" builtinId="8" hidden="1"/>
    <cellStyle name="Hiperłącze" xfId="100" builtinId="8" hidden="1"/>
    <cellStyle name="Hiperłącze" xfId="102" builtinId="8" hidden="1"/>
    <cellStyle name="Hiperłącze" xfId="104" builtinId="8" hidden="1"/>
    <cellStyle name="Hiperłącze" xfId="106" builtinId="8" hidden="1"/>
    <cellStyle name="Hiperłącze" xfId="108" builtinId="8" hidden="1"/>
    <cellStyle name="Hiperłącze" xfId="110" builtinId="8" hidden="1"/>
    <cellStyle name="Hiperłącze" xfId="112" builtinId="8" hidden="1"/>
    <cellStyle name="Hiperłącze" xfId="114" builtinId="8" hidden="1"/>
    <cellStyle name="Hiperłącze" xfId="116" builtinId="8" hidden="1"/>
    <cellStyle name="Hiperłącze" xfId="118" builtinId="8" hidden="1"/>
    <cellStyle name="Hiperłącze" xfId="120" builtinId="8" hidden="1"/>
    <cellStyle name="Hiperłącze" xfId="122" builtinId="8" hidden="1"/>
    <cellStyle name="Hiperłącze" xfId="124" builtinId="8" hidden="1"/>
    <cellStyle name="Hiperłącze" xfId="126" builtinId="8" hidden="1"/>
    <cellStyle name="Hiperłącze" xfId="128" builtinId="8" hidden="1"/>
    <cellStyle name="Hiperłącze" xfId="130" builtinId="8" hidden="1"/>
    <cellStyle name="Hiperłącze" xfId="132" builtinId="8" hidden="1"/>
    <cellStyle name="Hiperłącze" xfId="134" builtinId="8" hidden="1"/>
    <cellStyle name="Hiperłącze" xfId="136" builtinId="8" hidden="1"/>
    <cellStyle name="Hiperłącze" xfId="138" builtinId="8" hidden="1"/>
    <cellStyle name="Hiperłącze" xfId="140" builtinId="8" hidden="1"/>
    <cellStyle name="Hiperłącze" xfId="142" builtinId="8" hidden="1"/>
    <cellStyle name="Hiperłącze" xfId="144" builtinId="8" hidden="1"/>
    <cellStyle name="Hiperłącze" xfId="146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/>
    <cellStyle name="Normalny" xfId="0" builtinId="0"/>
    <cellStyle name="Normalny 2" xfId="383" xr:uid="{00000000-0005-0000-0000-00006A000000}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9" builtinId="9" hidden="1"/>
    <cellStyle name="Odwiedzone hiperłącze" xfId="31" builtinId="9" hidden="1"/>
    <cellStyle name="Odwiedzone hiperłącze" xfId="33" builtinId="9" hidden="1"/>
    <cellStyle name="Odwiedzone hiperłącze" xfId="35" builtinId="9" hidden="1"/>
    <cellStyle name="Odwiedzone hiperłącze" xfId="37" builtinId="9" hidden="1"/>
    <cellStyle name="Odwiedzone hiperłącze" xfId="39" builtinId="9" hidden="1"/>
    <cellStyle name="Odwiedzone hiperłącze" xfId="41" builtinId="9" hidden="1"/>
    <cellStyle name="Odwiedzone hiperłącze" xfId="43" builtinId="9" hidden="1"/>
    <cellStyle name="Odwiedzone hiperłącze" xfId="45" builtinId="9" hidden="1"/>
    <cellStyle name="Odwiedzone hiperłącze" xfId="47" builtinId="9" hidden="1"/>
    <cellStyle name="Odwiedzone hiperłącze" xfId="49" builtinId="9" hidden="1"/>
    <cellStyle name="Odwiedzone hiperłącze" xfId="51" builtinId="9" hidden="1"/>
    <cellStyle name="Odwiedzone hiperłącze" xfId="53" builtinId="9" hidden="1"/>
    <cellStyle name="Odwiedzone hiperłącze" xfId="55" builtinId="9" hidden="1"/>
    <cellStyle name="Odwiedzone hiperłącze" xfId="57" builtinId="9" hidden="1"/>
    <cellStyle name="Odwiedzone hiperłącze" xfId="59" builtinId="9" hidden="1"/>
    <cellStyle name="Odwiedzone hiperłącze" xfId="61" builtinId="9" hidden="1"/>
    <cellStyle name="Odwiedzone hiperłącze" xfId="63" builtinId="9" hidden="1"/>
    <cellStyle name="Odwiedzone hiperłącze" xfId="65" builtinId="9" hidden="1"/>
    <cellStyle name="Odwiedzone hiperłącze" xfId="67" builtinId="9" hidden="1"/>
    <cellStyle name="Odwiedzone hiperłącze" xfId="69" builtinId="9" hidden="1"/>
    <cellStyle name="Odwiedzone hiperłącze" xfId="71" builtinId="9" hidden="1"/>
    <cellStyle name="Odwiedzone hiperłącze" xfId="73" builtinId="9" hidden="1"/>
    <cellStyle name="Odwiedzone hiperłącze" xfId="75" builtinId="9" hidden="1"/>
    <cellStyle name="Odwiedzone hiperłącze" xfId="77" builtinId="9" hidden="1"/>
    <cellStyle name="Odwiedzone hiperłącze" xfId="79" builtinId="9" hidden="1"/>
    <cellStyle name="Odwiedzone hiperłącze" xfId="81" builtinId="9" hidden="1"/>
    <cellStyle name="Odwiedzone hiperłącze" xfId="83" builtinId="9" hidden="1"/>
    <cellStyle name="Odwiedzone hiperłącze" xfId="85" builtinId="9" hidden="1"/>
    <cellStyle name="Odwiedzone hiperłącze" xfId="87" builtinId="9" hidden="1"/>
    <cellStyle name="Odwiedzone hiperłącze" xfId="89" builtinId="9" hidden="1"/>
    <cellStyle name="Odwiedzone hiperłącze" xfId="91" builtinId="9" hidden="1"/>
    <cellStyle name="Odwiedzone hiperłącze" xfId="93" builtinId="9" hidden="1"/>
    <cellStyle name="Odwiedzone hiperłącze" xfId="95" builtinId="9" hidden="1"/>
    <cellStyle name="Odwiedzone hiperłącze" xfId="97" builtinId="9" hidden="1"/>
    <cellStyle name="Odwiedzone hiperłącze" xfId="99" builtinId="9" hidden="1"/>
    <cellStyle name="Odwiedzone hiperłącze" xfId="101" builtinId="9" hidden="1"/>
    <cellStyle name="Odwiedzone hiperłącze" xfId="103" builtinId="9" hidden="1"/>
    <cellStyle name="Odwiedzone hiperłącze" xfId="105" builtinId="9" hidden="1"/>
    <cellStyle name="Odwiedzone hiperłącze" xfId="107" builtinId="9" hidden="1"/>
    <cellStyle name="Odwiedzone hiperłącze" xfId="109" builtinId="9" hidden="1"/>
    <cellStyle name="Odwiedzone hiperłącze" xfId="111" builtinId="9" hidden="1"/>
    <cellStyle name="Odwiedzone hiperłącze" xfId="113" builtinId="9" hidden="1"/>
    <cellStyle name="Odwiedzone hiperłącze" xfId="115" builtinId="9" hidden="1"/>
    <cellStyle name="Odwiedzone hiperłącze" xfId="117" builtinId="9" hidden="1"/>
    <cellStyle name="Odwiedzone hiperłącze" xfId="119" builtinId="9" hidden="1"/>
    <cellStyle name="Odwiedzone hiperłącze" xfId="121" builtinId="9" hidden="1"/>
    <cellStyle name="Odwiedzone hiperłącze" xfId="123" builtinId="9" hidden="1"/>
    <cellStyle name="Odwiedzone hiperłącze" xfId="125" builtinId="9" hidden="1"/>
    <cellStyle name="Odwiedzone hiperłącze" xfId="127" builtinId="9" hidden="1"/>
    <cellStyle name="Odwiedzone hiperłącze" xfId="129" builtinId="9" hidden="1"/>
    <cellStyle name="Odwiedzone hiperłącze" xfId="131" builtinId="9" hidden="1"/>
    <cellStyle name="Odwiedzone hiperłącze" xfId="133" builtinId="9" hidden="1"/>
    <cellStyle name="Odwiedzone hiperłącze" xfId="135" builtinId="9" hidden="1"/>
    <cellStyle name="Odwiedzone hiperłącze" xfId="137" builtinId="9" hidden="1"/>
    <cellStyle name="Odwiedzone hiperłącze" xfId="139" builtinId="9" hidden="1"/>
    <cellStyle name="Odwiedzone hiperłącze" xfId="141" builtinId="9" hidden="1"/>
    <cellStyle name="Odwiedzone hiperłącze" xfId="143" builtinId="9" hidden="1"/>
    <cellStyle name="Odwiedzone hiperłącze" xfId="145" builtinId="9" hidden="1"/>
    <cellStyle name="Odwiedzone hiperłącze" xfId="147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3" builtinId="9" hidden="1"/>
    <cellStyle name="Odwiedzone hiperłącze" xfId="214" builtinId="9" hidden="1"/>
    <cellStyle name="Odwiedzone hiperłącze" xfId="215" builtinId="9" hidden="1"/>
    <cellStyle name="Odwiedzone hiperłącze" xfId="216" builtinId="9" hidden="1"/>
    <cellStyle name="Odwiedzone hiperłącze" xfId="217" builtinId="9" hidden="1"/>
    <cellStyle name="Odwiedzone hiperłącze" xfId="218" builtinId="9" hidden="1"/>
    <cellStyle name="Odwiedzone hiperłącze" xfId="219" builtinId="9" hidden="1"/>
    <cellStyle name="Odwiedzone hiperłącze" xfId="220" builtinId="9" hidden="1"/>
    <cellStyle name="Odwiedzone hiperłącze" xfId="221" builtinId="9" hidden="1"/>
    <cellStyle name="Odwiedzone hiperłącze" xfId="222" builtinId="9" hidden="1"/>
    <cellStyle name="Odwiedzone hiperłącze" xfId="223" builtinId="9" hidden="1"/>
    <cellStyle name="Odwiedzone hiperłącze" xfId="224" builtinId="9" hidden="1"/>
    <cellStyle name="Odwiedzone hiperłącze" xfId="225" builtinId="9" hidden="1"/>
    <cellStyle name="Odwiedzone hiperłącze" xfId="226" builtinId="9" hidden="1"/>
    <cellStyle name="Odwiedzone hiperłącze" xfId="227" builtinId="9" hidden="1"/>
    <cellStyle name="Odwiedzone hiperłącze" xfId="228" builtinId="9" hidden="1"/>
    <cellStyle name="Odwiedzone hiperłącze" xfId="229" builtinId="9" hidden="1"/>
    <cellStyle name="Odwiedzone hiperłącze" xfId="230" builtinId="9" hidden="1"/>
    <cellStyle name="Odwiedzone hiperłącze" xfId="231" builtinId="9" hidden="1"/>
    <cellStyle name="Odwiedzone hiperłącze" xfId="232" builtinId="9" hidden="1"/>
    <cellStyle name="Odwiedzone hiperłącze" xfId="233" builtinId="9" hidden="1"/>
    <cellStyle name="Odwiedzone hiperłącze" xfId="234" builtinId="9" hidden="1"/>
    <cellStyle name="Odwiedzone hiperłącze" xfId="235" builtinId="9" hidden="1"/>
    <cellStyle name="Odwiedzone hiperłącze" xfId="236" builtinId="9" hidden="1"/>
    <cellStyle name="Odwiedzone hiperłącze" xfId="237" builtinId="9" hidden="1"/>
    <cellStyle name="Odwiedzone hiperłącze" xfId="238" builtinId="9" hidden="1"/>
    <cellStyle name="Odwiedzone hiperłącze" xfId="239" builtinId="9" hidden="1"/>
    <cellStyle name="Odwiedzone hiperłącze" xfId="240" builtinId="9" hidden="1"/>
    <cellStyle name="Odwiedzone hiperłącze" xfId="241" builtinId="9" hidden="1"/>
    <cellStyle name="Odwiedzone hiperłącze" xfId="242" builtinId="9" hidden="1"/>
    <cellStyle name="Odwiedzone hiperłącze" xfId="243" builtinId="9" hidden="1"/>
    <cellStyle name="Odwiedzone hiperłącze" xfId="244" builtinId="9" hidden="1"/>
    <cellStyle name="Odwiedzone hiperłącze" xfId="245" builtinId="9" hidden="1"/>
    <cellStyle name="Odwiedzone hiperłącze" xfId="246" builtinId="9" hidden="1"/>
    <cellStyle name="Odwiedzone hiperłącze" xfId="247" builtinId="9" hidden="1"/>
    <cellStyle name="Odwiedzone hiperłącze" xfId="248" builtinId="9" hidden="1"/>
    <cellStyle name="Odwiedzone hiperłącze" xfId="249" builtinId="9" hidden="1"/>
    <cellStyle name="Odwiedzone hiperłącze" xfId="250" builtinId="9" hidden="1"/>
    <cellStyle name="Odwiedzone hiperłącze" xfId="251" builtinId="9" hidden="1"/>
    <cellStyle name="Odwiedzone hiperłącze" xfId="252" builtinId="9" hidden="1"/>
    <cellStyle name="Odwiedzone hiperłącze" xfId="253" builtinId="9" hidden="1"/>
    <cellStyle name="Odwiedzone hiperłącze" xfId="254" builtinId="9" hidden="1"/>
    <cellStyle name="Odwiedzone hiperłącze" xfId="255" builtinId="9" hidden="1"/>
    <cellStyle name="Odwiedzone hiperłącze" xfId="256" builtinId="9" hidden="1"/>
    <cellStyle name="Odwiedzone hiperłącze" xfId="257" builtinId="9" hidden="1"/>
    <cellStyle name="Odwiedzone hiperłącze" xfId="258" builtinId="9" hidden="1"/>
    <cellStyle name="Odwiedzone hiperłącze" xfId="259" builtinId="9" hidden="1"/>
    <cellStyle name="Odwiedzone hiperłącze" xfId="260" builtinId="9" hidden="1"/>
    <cellStyle name="Odwiedzone hiperłącze" xfId="261" builtinId="9" hidden="1"/>
    <cellStyle name="Odwiedzone hiperłącze" xfId="262" builtinId="9" hidden="1"/>
    <cellStyle name="Odwiedzone hiperłącze" xfId="263" builtinId="9" hidden="1"/>
    <cellStyle name="Odwiedzone hiperłącze" xfId="264" builtinId="9" hidden="1"/>
    <cellStyle name="Odwiedzone hiperłącze" xfId="265" builtinId="9" hidden="1"/>
    <cellStyle name="Odwiedzone hiperłącze" xfId="266" builtinId="9" hidden="1"/>
    <cellStyle name="Odwiedzone hiperłącze" xfId="267" builtinId="9" hidden="1"/>
    <cellStyle name="Odwiedzone hiperłącze" xfId="268" builtinId="9" hidden="1"/>
    <cellStyle name="Odwiedzone hiperłącze" xfId="269" builtinId="9" hidden="1"/>
    <cellStyle name="Odwiedzone hiperłącze" xfId="270" builtinId="9" hidden="1"/>
    <cellStyle name="Odwiedzone hiperłącze" xfId="271" builtinId="9" hidden="1"/>
    <cellStyle name="Odwiedzone hiperłącze" xfId="272" builtinId="9" hidden="1"/>
    <cellStyle name="Odwiedzone hiperłącze" xfId="273" builtinId="9" hidden="1"/>
    <cellStyle name="Odwiedzone hiperłącze" xfId="274" builtinId="9" hidden="1"/>
    <cellStyle name="Odwiedzone hiperłącze" xfId="275" builtinId="9" hidden="1"/>
    <cellStyle name="Odwiedzone hiperłącze" xfId="276" builtinId="9" hidden="1"/>
    <cellStyle name="Odwiedzone hiperłącze" xfId="277" builtinId="9" hidden="1"/>
    <cellStyle name="Odwiedzone hiperłącze" xfId="278" builtinId="9" hidden="1"/>
    <cellStyle name="Odwiedzone hiperłącze" xfId="279" builtinId="9" hidden="1"/>
    <cellStyle name="Odwiedzone hiperłącze" xfId="280" builtinId="9" hidden="1"/>
    <cellStyle name="Odwiedzone hiperłącze" xfId="281" builtinId="9" hidden="1"/>
    <cellStyle name="Odwiedzone hiperłącze" xfId="282" builtinId="9" hidden="1"/>
    <cellStyle name="Odwiedzone hiperłącze" xfId="283" builtinId="9" hidden="1"/>
    <cellStyle name="Odwiedzone hiperłącze" xfId="284" builtinId="9" hidden="1"/>
    <cellStyle name="Odwiedzone hiperłącze" xfId="285" builtinId="9" hidden="1"/>
    <cellStyle name="Odwiedzone hiperłącze" xfId="286" builtinId="9" hidden="1"/>
    <cellStyle name="Odwiedzone hiperłącze" xfId="287" builtinId="9" hidden="1"/>
    <cellStyle name="Odwiedzone hiperłącze" xfId="288" builtinId="9" hidden="1"/>
    <cellStyle name="Odwiedzone hiperłącze" xfId="289" builtinId="9" hidden="1"/>
    <cellStyle name="Odwiedzone hiperłącze" xfId="290" builtinId="9" hidden="1"/>
    <cellStyle name="Odwiedzone hiperłącze" xfId="291" builtinId="9" hidden="1"/>
    <cellStyle name="Odwiedzone hiperłącze" xfId="292" builtinId="9" hidden="1"/>
    <cellStyle name="Odwiedzone hiperłącze" xfId="293" builtinId="9" hidden="1"/>
    <cellStyle name="Odwiedzone hiperłącze" xfId="294" builtinId="9" hidden="1"/>
    <cellStyle name="Odwiedzone hiperłącze" xfId="295" builtinId="9" hidden="1"/>
    <cellStyle name="Odwiedzone hiperłącze" xfId="296" builtinId="9" hidden="1"/>
    <cellStyle name="Odwiedzone hiperłącze" xfId="297" builtinId="9" hidden="1"/>
    <cellStyle name="Odwiedzone hiperłącze" xfId="298" builtinId="9" hidden="1"/>
    <cellStyle name="Odwiedzone hiperłącze" xfId="299" builtinId="9" hidden="1"/>
    <cellStyle name="Odwiedzone hiperłącze" xfId="300" builtinId="9" hidden="1"/>
    <cellStyle name="Odwiedzone hiperłącze" xfId="301" builtinId="9" hidden="1"/>
    <cellStyle name="Odwiedzone hiperłącze" xfId="302" builtinId="9" hidden="1"/>
    <cellStyle name="Odwiedzone hiperłącze" xfId="303" builtinId="9" hidden="1"/>
    <cellStyle name="Odwiedzone hiperłącze" xfId="304" builtinId="9" hidden="1"/>
    <cellStyle name="Odwiedzone hiperłącze" xfId="305" builtinId="9" hidden="1"/>
    <cellStyle name="Odwiedzone hiperłącze" xfId="306" builtinId="9" hidden="1"/>
    <cellStyle name="Odwiedzone hiperłącze" xfId="307" builtinId="9" hidden="1"/>
    <cellStyle name="Odwiedzone hiperłącze" xfId="308" builtinId="9" hidden="1"/>
    <cellStyle name="Odwiedzone hiperłącze" xfId="309" builtinId="9" hidden="1"/>
    <cellStyle name="Odwiedzone hiperłącze" xfId="310" builtinId="9" hidden="1"/>
    <cellStyle name="Odwiedzone hiperłącze" xfId="311" builtinId="9" hidden="1"/>
    <cellStyle name="Odwiedzone hiperłącze" xfId="312" builtinId="9" hidden="1"/>
    <cellStyle name="Odwiedzone hiperłącze" xfId="313" builtinId="9" hidden="1"/>
    <cellStyle name="Odwiedzone hiperłącze" xfId="314" builtinId="9" hidden="1"/>
    <cellStyle name="Odwiedzone hiperłącze" xfId="315" builtinId="9" hidden="1"/>
    <cellStyle name="Odwiedzone hiperłącze" xfId="316" builtinId="9" hidden="1"/>
    <cellStyle name="Odwiedzone hiperłącze" xfId="317" builtinId="9" hidden="1"/>
    <cellStyle name="Odwiedzone hiperłącze" xfId="318" builtinId="9" hidden="1"/>
    <cellStyle name="Odwiedzone hiperłącze" xfId="319" builtinId="9" hidden="1"/>
    <cellStyle name="Odwiedzone hiperłącze" xfId="320" builtinId="9" hidden="1"/>
    <cellStyle name="Odwiedzone hiperłącze" xfId="321" builtinId="9" hidden="1"/>
    <cellStyle name="Odwiedzone hiperłącze" xfId="322" builtinId="9" hidden="1"/>
    <cellStyle name="Odwiedzone hiperłącze" xfId="323" builtinId="9" hidden="1"/>
    <cellStyle name="Odwiedzone hiperłącze" xfId="324" builtinId="9" hidden="1"/>
    <cellStyle name="Odwiedzone hiperłącze" xfId="325" builtinId="9" hidden="1"/>
    <cellStyle name="Odwiedzone hiperłącze" xfId="326" builtinId="9" hidden="1"/>
    <cellStyle name="Odwiedzone hiperłącze" xfId="327" builtinId="9" hidden="1"/>
    <cellStyle name="Odwiedzone hiperłącze" xfId="328" builtinId="9" hidden="1"/>
    <cellStyle name="Odwiedzone hiperłącze" xfId="329" builtinId="9" hidden="1"/>
    <cellStyle name="Odwiedzone hiperłącze" xfId="330" builtinId="9" hidden="1"/>
    <cellStyle name="Odwiedzone hiperłącze" xfId="331" builtinId="9" hidden="1"/>
    <cellStyle name="Odwiedzone hiperłącze" xfId="332" builtinId="9" hidden="1"/>
    <cellStyle name="Odwiedzone hiperłącze" xfId="333" builtinId="9" hidden="1"/>
    <cellStyle name="Odwiedzone hiperłącze" xfId="334" builtinId="9" hidden="1"/>
    <cellStyle name="Odwiedzone hiperłącze" xfId="335" builtinId="9" hidden="1"/>
    <cellStyle name="Odwiedzone hiperłącze" xfId="336" builtinId="9" hidden="1"/>
    <cellStyle name="Odwiedzone hiperłącze" xfId="337" builtinId="9" hidden="1"/>
    <cellStyle name="Odwiedzone hiperłącze" xfId="338" builtinId="9" hidden="1"/>
    <cellStyle name="Odwiedzone hiperłącze" xfId="339" builtinId="9" hidden="1"/>
    <cellStyle name="Odwiedzone hiperłącze" xfId="340" builtinId="9" hidden="1"/>
    <cellStyle name="Odwiedzone hiperłącze" xfId="341" builtinId="9" hidden="1"/>
    <cellStyle name="Odwiedzone hiperłącze" xfId="342" builtinId="9" hidden="1"/>
    <cellStyle name="Odwiedzone hiperłącze" xfId="343" builtinId="9" hidden="1"/>
    <cellStyle name="Odwiedzone hiperłącze" xfId="344" builtinId="9" hidden="1"/>
    <cellStyle name="Odwiedzone hiperłącze" xfId="345" builtinId="9" hidden="1"/>
    <cellStyle name="Odwiedzone hiperłącze" xfId="346" builtinId="9" hidden="1"/>
    <cellStyle name="Odwiedzone hiperłącze" xfId="347" builtinId="9" hidden="1"/>
    <cellStyle name="Odwiedzone hiperłącze" xfId="348" builtinId="9" hidden="1"/>
    <cellStyle name="Odwiedzone hiperłącze" xfId="349" builtinId="9" hidden="1"/>
    <cellStyle name="Odwiedzone hiperłącze" xfId="350" builtinId="9" hidden="1"/>
    <cellStyle name="Odwiedzone hiperłącze" xfId="351" builtinId="9" hidden="1"/>
    <cellStyle name="Odwiedzone hiperłącze" xfId="352" builtinId="9" hidden="1"/>
    <cellStyle name="Odwiedzone hiperłącze" xfId="353" builtinId="9" hidden="1"/>
    <cellStyle name="Odwiedzone hiperłącze" xfId="354" builtinId="9" hidden="1"/>
    <cellStyle name="Odwiedzone hiperłącze" xfId="355" builtinId="9" hidden="1"/>
    <cellStyle name="Odwiedzone hiperłącze" xfId="356" builtinId="9" hidden="1"/>
    <cellStyle name="Odwiedzone hiperłącze" xfId="357" builtinId="9" hidden="1"/>
    <cellStyle name="Odwiedzone hiperłącze" xfId="358" builtinId="9" hidden="1"/>
    <cellStyle name="Odwiedzone hiperłącze" xfId="359" builtinId="9" hidden="1"/>
    <cellStyle name="Odwiedzone hiperłącze" xfId="360" builtinId="9" hidden="1"/>
    <cellStyle name="Odwiedzone hiperłącze" xfId="361" builtinId="9" hidden="1"/>
    <cellStyle name="Odwiedzone hiperłącze" xfId="362" builtinId="9" hidden="1"/>
    <cellStyle name="Odwiedzone hiperłącze" xfId="363" builtinId="9" hidden="1"/>
    <cellStyle name="Odwiedzone hiperłącze" xfId="364" builtinId="9" hidden="1"/>
    <cellStyle name="Odwiedzone hiperłącze" xfId="365" builtinId="9" hidden="1"/>
    <cellStyle name="Odwiedzone hiperłącze" xfId="366" builtinId="9" hidden="1"/>
    <cellStyle name="Odwiedzone hiperłącze" xfId="367" builtinId="9" hidden="1"/>
    <cellStyle name="Odwiedzone hiperłącze" xfId="368" builtinId="9" hidden="1"/>
    <cellStyle name="Odwiedzone hiperłącze" xfId="369" builtinId="9" hidden="1"/>
    <cellStyle name="Odwiedzone hiperłącze" xfId="370" builtinId="9" hidden="1"/>
    <cellStyle name="Odwiedzone hiperłącze" xfId="371" builtinId="9" hidden="1"/>
    <cellStyle name="Odwiedzone hiperłącze" xfId="372" builtinId="9" hidden="1"/>
    <cellStyle name="Odwiedzone hiperłącze" xfId="373" builtinId="9" hidden="1"/>
    <cellStyle name="Odwiedzone hiperłącze" xfId="374" builtinId="9" hidden="1"/>
    <cellStyle name="Odwiedzone hiperłącze" xfId="375" builtinId="9" hidden="1"/>
    <cellStyle name="Odwiedzone hiperłącze" xfId="376" builtinId="9" hidden="1"/>
    <cellStyle name="Odwiedzone hiperłącze" xfId="377" builtinId="9" hidden="1"/>
    <cellStyle name="Odwiedzone hiperłącze" xfId="378" builtinId="9" hidden="1"/>
    <cellStyle name="Odwiedzone hiperłącze" xfId="379" builtinId="9" hidden="1"/>
    <cellStyle name="Odwiedzone hiperłącze" xfId="380" builtinId="9" hidden="1"/>
    <cellStyle name="Odwiedzone hiperłącze" xfId="381" builtinId="9" hidden="1"/>
    <cellStyle name="Odwiedzone hiperłącze" xfId="382" builtinId="9" hidden="1"/>
    <cellStyle name="Procentowy" xfId="27" builtinId="5"/>
    <cellStyle name="Procentowy 2" xfId="148" xr:uid="{00000000-0005-0000-0000-00007F01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2280803</xdr:colOff>
      <xdr:row>6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11003" cy="1358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127000</xdr:rowOff>
    </xdr:from>
    <xdr:to>
      <xdr:col>8</xdr:col>
      <xdr:colOff>622300</xdr:colOff>
      <xdr:row>5</xdr:row>
      <xdr:rowOff>27000</xdr:rowOff>
    </xdr:to>
    <xdr:sp macro="" textlink="">
      <xdr:nvSpPr>
        <xdr:cNvPr id="3" name="Pole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81300" y="3302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4000" b="1">
              <a:solidFill>
                <a:schemeClr val="bg1"/>
              </a:solidFill>
            </a:rPr>
            <a:t>Spreadsheet </a:t>
          </a:r>
        </a:p>
      </xdr:txBody>
    </xdr:sp>
    <xdr:clientData/>
  </xdr:twoCellAnchor>
  <xdr:twoCellAnchor>
    <xdr:from>
      <xdr:col>2</xdr:col>
      <xdr:colOff>0</xdr:colOff>
      <xdr:row>5</xdr:row>
      <xdr:rowOff>177800</xdr:rowOff>
    </xdr:from>
    <xdr:to>
      <xdr:col>8</xdr:col>
      <xdr:colOff>622300</xdr:colOff>
      <xdr:row>9</xdr:row>
      <xdr:rowOff>77800</xdr:rowOff>
    </xdr:to>
    <xdr:sp macro="" textlink="">
      <xdr:nvSpPr>
        <xdr:cNvPr id="4" name="Pole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81300" y="11938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2800">
              <a:solidFill>
                <a:schemeClr val="bg1"/>
              </a:solidFill>
            </a:rPr>
            <a:t>Stan na dzień: 31.03.2019.</a:t>
          </a:r>
        </a:p>
      </xdr:txBody>
    </xdr:sp>
    <xdr:clientData/>
  </xdr:twoCellAnchor>
  <xdr:twoCellAnchor>
    <xdr:from>
      <xdr:col>1</xdr:col>
      <xdr:colOff>25400</xdr:colOff>
      <xdr:row>10</xdr:row>
      <xdr:rowOff>50800</xdr:rowOff>
    </xdr:from>
    <xdr:to>
      <xdr:col>8</xdr:col>
      <xdr:colOff>622300</xdr:colOff>
      <xdr:row>15</xdr:row>
      <xdr:rowOff>154000</xdr:rowOff>
    </xdr:to>
    <xdr:sp macro="" textlink="">
      <xdr:nvSpPr>
        <xdr:cNvPr id="5" name="Pole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5600" y="2082800"/>
          <a:ext cx="8280400" cy="71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pl-PL" sz="1050">
              <a:solidFill>
                <a:schemeClr val="tx2"/>
              </a:solidFill>
            </a:rPr>
            <a:t>Niniejszy</a:t>
          </a:r>
          <a:r>
            <a:rPr lang="pl-PL" sz="1050" baseline="0">
              <a:solidFill>
                <a:schemeClr val="tx2"/>
              </a:solidFill>
            </a:rPr>
            <a:t> dokument ma charakter pomocniczy. Zespół relacji inwestorskich LUG S.A. dokłada staranności, aby zawarte w nim dane były dokładne, jednak nie może zagwarantować ich poprawności. Dane w factsheecie są wprowadzone bezpośrednio z opublikowanych raportów okresowych za dany okres, dlatego mogą występować różnice np. pomiędzy sumą danych za cztery kwartały danego roku oraz danymi pochodzącymi z raportu rocznego za ten rok. Podstawowym i głównym źródełem danych na temat LUG S.A., Grupy Kapitałowej LUG S.A., wyników finansowych i danych operacyjnych są dokumenty informacyjne, prospekty emisyjne, raporty okresowe oraz raporty bieżące podawane przez spółkę do publicznej wiadomości za pośrednictwem systemów ESPI i EBI oraz strony internetowej spółki.</a:t>
          </a:r>
          <a:endParaRPr lang="pl-PL" sz="105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LUG">
      <a:dk1>
        <a:srgbClr val="000000"/>
      </a:dk1>
      <a:lt1>
        <a:srgbClr val="FFFFFF"/>
      </a:lt1>
      <a:dk2>
        <a:srgbClr val="676767"/>
      </a:dk2>
      <a:lt2>
        <a:srgbClr val="FFFFFF"/>
      </a:lt2>
      <a:accent1>
        <a:srgbClr val="DA241D"/>
      </a:accent1>
      <a:accent2>
        <a:srgbClr val="676767"/>
      </a:accent2>
      <a:accent3>
        <a:srgbClr val="676767"/>
      </a:accent3>
      <a:accent4>
        <a:srgbClr val="919191"/>
      </a:accent4>
      <a:accent5>
        <a:srgbClr val="BBBBBB"/>
      </a:accent5>
      <a:accent6>
        <a:srgbClr val="E0E0E0"/>
      </a:accent6>
      <a:hlink>
        <a:srgbClr val="000000"/>
      </a:hlink>
      <a:folHlink>
        <a:srgbClr val="67676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E32"/>
  <sheetViews>
    <sheetView showGridLines="0" tabSelected="1" workbookViewId="0">
      <selection activeCell="J6" sqref="J6"/>
    </sheetView>
  </sheetViews>
  <sheetFormatPr defaultColWidth="10.54296875" defaultRowHeight="15" x14ac:dyDescent="0.25"/>
  <cols>
    <col min="1" max="1" width="3.54296875" customWidth="1"/>
    <col min="2" max="2" width="27.54296875" bestFit="1" customWidth="1"/>
    <col min="3" max="3" width="3.54296875" customWidth="1"/>
    <col min="4" max="4" width="12.54296875" bestFit="1" customWidth="1"/>
    <col min="5" max="5" width="10.453125" bestFit="1" customWidth="1"/>
  </cols>
  <sheetData>
    <row r="17" spans="2:5" s="21" customFormat="1" ht="15.6" x14ac:dyDescent="0.3">
      <c r="B17" s="21" t="s">
        <v>133</v>
      </c>
    </row>
    <row r="19" spans="2:5" x14ac:dyDescent="0.25">
      <c r="B19" t="s">
        <v>138</v>
      </c>
      <c r="D19" s="24" t="s">
        <v>136</v>
      </c>
      <c r="E19" s="24" t="s">
        <v>137</v>
      </c>
    </row>
    <row r="20" spans="2:5" x14ac:dyDescent="0.25">
      <c r="B20" s="24" t="s">
        <v>49</v>
      </c>
    </row>
    <row r="21" spans="2:5" x14ac:dyDescent="0.25">
      <c r="B21" t="s">
        <v>139</v>
      </c>
      <c r="D21" s="24" t="s">
        <v>136</v>
      </c>
      <c r="E21" s="24" t="s">
        <v>137</v>
      </c>
    </row>
    <row r="22" spans="2:5" x14ac:dyDescent="0.25">
      <c r="B22" s="24" t="s">
        <v>72</v>
      </c>
    </row>
    <row r="23" spans="2:5" x14ac:dyDescent="0.25">
      <c r="B23" s="24" t="s">
        <v>134</v>
      </c>
    </row>
    <row r="24" spans="2:5" x14ac:dyDescent="0.25">
      <c r="B24" s="24" t="s">
        <v>135</v>
      </c>
    </row>
    <row r="26" spans="2:5" ht="15.6" x14ac:dyDescent="0.3">
      <c r="B26" s="21" t="s">
        <v>140</v>
      </c>
    </row>
    <row r="28" spans="2:5" x14ac:dyDescent="0.25">
      <c r="B28" s="25" t="s">
        <v>141</v>
      </c>
      <c r="D28" t="s">
        <v>142</v>
      </c>
    </row>
    <row r="29" spans="2:5" x14ac:dyDescent="0.25">
      <c r="B29" s="25" t="s">
        <v>143</v>
      </c>
      <c r="D29" t="s">
        <v>146</v>
      </c>
    </row>
    <row r="30" spans="2:5" x14ac:dyDescent="0.25">
      <c r="B30" s="25" t="s">
        <v>144</v>
      </c>
      <c r="D30" t="s">
        <v>150</v>
      </c>
    </row>
    <row r="31" spans="2:5" x14ac:dyDescent="0.25">
      <c r="B31" s="25" t="s">
        <v>145</v>
      </c>
      <c r="D31" t="s">
        <v>147</v>
      </c>
    </row>
    <row r="32" spans="2:5" x14ac:dyDescent="0.25">
      <c r="B32" s="25" t="s">
        <v>148</v>
      </c>
      <c r="D32" t="s">
        <v>149</v>
      </c>
    </row>
  </sheetData>
  <hyperlinks>
    <hyperlink ref="D19" location="R_wyników_Q!A1" display="dane kwartalne" xr:uid="{00000000-0004-0000-0000-000000000000}"/>
    <hyperlink ref="E19" location="R_wyników_FY!A1" display="dane roczne" xr:uid="{00000000-0004-0000-0000-000001000000}"/>
    <hyperlink ref="B20" location="Bilans!A1" display="Bilans" xr:uid="{00000000-0004-0000-0000-000002000000}"/>
    <hyperlink ref="D21" location="Cashflow_Q!A1" display="dane kwartalne" xr:uid="{00000000-0004-0000-0000-000003000000}"/>
    <hyperlink ref="E21" location="Cashflow_FY!A1" display="dane roczne" xr:uid="{00000000-0004-0000-0000-000004000000}"/>
    <hyperlink ref="B22" location="Inwestycje!A1" display="Inwestycje" xr:uid="{00000000-0004-0000-0000-000005000000}"/>
    <hyperlink ref="B23" location="HR!A1" display="Dane na temat zatrudnienia" xr:uid="{00000000-0004-0000-0000-000006000000}"/>
    <hyperlink ref="B24" location="Akcjonariat!A1" display="Akcjonariat" xr:uid="{00000000-0004-0000-0000-000007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"/>
  <sheetViews>
    <sheetView zoomScaleNormal="100" workbookViewId="0">
      <pane xSplit="1" ySplit="1" topLeftCell="J2" activePane="bottomRight" state="frozenSplit"/>
      <selection sqref="A1:XFD1"/>
      <selection pane="topRight" activeCell="B1" sqref="B1"/>
      <selection pane="bottomLeft"/>
      <selection pane="bottomRight"/>
    </sheetView>
  </sheetViews>
  <sheetFormatPr defaultColWidth="10.54296875" defaultRowHeight="15" x14ac:dyDescent="0.25"/>
  <cols>
    <col min="1" max="1" width="51.81640625" style="1" customWidth="1"/>
    <col min="2" max="4" width="10.54296875" style="1"/>
    <col min="5" max="5" width="10.54296875" style="32"/>
    <col min="6" max="6" width="10.54296875" style="1"/>
    <col min="7" max="13" width="10.54296875" style="32"/>
    <col min="14" max="14" width="10.54296875" style="8"/>
    <col min="15" max="16" width="10.54296875" style="3"/>
    <col min="17" max="17" width="10.54296875" style="1" customWidth="1"/>
    <col min="18" max="18" width="10.54296875" style="1"/>
    <col min="19" max="19" width="11.54296875" style="1" bestFit="1" customWidth="1"/>
    <col min="20" max="16384" width="10.54296875" style="1"/>
  </cols>
  <sheetData>
    <row r="1" spans="1:19" s="4" customFormat="1" ht="15.6" x14ac:dyDescent="0.3">
      <c r="A1" s="6" t="s">
        <v>116</v>
      </c>
      <c r="B1" s="4" t="s">
        <v>101</v>
      </c>
      <c r="C1" s="4" t="s">
        <v>102</v>
      </c>
      <c r="D1" s="4" t="s">
        <v>103</v>
      </c>
      <c r="E1" s="31" t="s">
        <v>104</v>
      </c>
      <c r="F1" s="4" t="s">
        <v>105</v>
      </c>
      <c r="G1" s="31" t="s">
        <v>151</v>
      </c>
      <c r="H1" s="31" t="s">
        <v>153</v>
      </c>
      <c r="I1" s="31" t="s">
        <v>157</v>
      </c>
      <c r="J1" s="31" t="s">
        <v>158</v>
      </c>
      <c r="K1" s="31" t="s">
        <v>160</v>
      </c>
      <c r="L1" s="31" t="s">
        <v>163</v>
      </c>
      <c r="M1" s="31" t="s">
        <v>165</v>
      </c>
      <c r="N1" s="7" t="s">
        <v>169</v>
      </c>
      <c r="O1" s="4" t="s">
        <v>78</v>
      </c>
      <c r="P1" s="4" t="s">
        <v>77</v>
      </c>
    </row>
    <row r="2" spans="1:19" s="4" customFormat="1" ht="15.6" x14ac:dyDescent="0.3">
      <c r="A2" s="4" t="s">
        <v>11</v>
      </c>
      <c r="B2" s="4">
        <v>22.048819999999999</v>
      </c>
      <c r="C2" s="4">
        <v>31.13747</v>
      </c>
      <c r="D2" s="4">
        <v>33.396149999999999</v>
      </c>
      <c r="E2" s="31">
        <v>34.274999999999999</v>
      </c>
      <c r="F2" s="4">
        <v>30.470009999999998</v>
      </c>
      <c r="G2" s="31">
        <v>33.31</v>
      </c>
      <c r="H2" s="31">
        <v>39.24</v>
      </c>
      <c r="I2" s="31">
        <v>39.279990000000005</v>
      </c>
      <c r="J2" s="31">
        <v>35</v>
      </c>
      <c r="K2" s="31">
        <v>41.66</v>
      </c>
      <c r="L2" s="31">
        <f>119.6-J2-K2</f>
        <v>42.94</v>
      </c>
      <c r="M2" s="31">
        <v>50.17</v>
      </c>
      <c r="N2" s="7">
        <v>42.05</v>
      </c>
      <c r="O2" s="5">
        <f>N2/M2-1</f>
        <v>-0.16184971098265899</v>
      </c>
      <c r="P2" s="5">
        <f>N2/J2-1</f>
        <v>0.20142857142857129</v>
      </c>
      <c r="R2" s="31"/>
    </row>
    <row r="3" spans="1:19" ht="15.6" x14ac:dyDescent="0.3">
      <c r="A3" s="1" t="s">
        <v>106</v>
      </c>
      <c r="B3" s="1">
        <v>9.39</v>
      </c>
      <c r="C3" s="1">
        <v>13.754</v>
      </c>
      <c r="D3" s="1">
        <v>17.039000000000001</v>
      </c>
      <c r="E3" s="32">
        <v>15.42</v>
      </c>
      <c r="F3" s="1">
        <v>12.83620136</v>
      </c>
      <c r="G3" s="32">
        <v>13.89</v>
      </c>
      <c r="H3" s="32">
        <v>16.04</v>
      </c>
      <c r="I3" s="32">
        <v>19.190000000000001</v>
      </c>
      <c r="J3" s="32">
        <v>14.61</v>
      </c>
      <c r="K3" s="32">
        <v>20.98</v>
      </c>
      <c r="L3" s="32">
        <v>24.77</v>
      </c>
      <c r="M3" s="32">
        <f>21.44</f>
        <v>21.44</v>
      </c>
      <c r="N3" s="8">
        <v>14</v>
      </c>
      <c r="O3" s="3">
        <f>N3/M3-1</f>
        <v>-0.34701492537313439</v>
      </c>
      <c r="P3" s="3">
        <f>N3/J3-1</f>
        <v>-4.1752224503764479E-2</v>
      </c>
      <c r="R3" s="32"/>
      <c r="S3" s="4"/>
    </row>
    <row r="4" spans="1:19" s="2" customFormat="1" ht="15.6" x14ac:dyDescent="0.3">
      <c r="A4" s="2" t="s">
        <v>107</v>
      </c>
      <c r="B4" s="2">
        <f t="shared" ref="B4:G4" si="0">B3/B2</f>
        <v>0.42587313062558452</v>
      </c>
      <c r="C4" s="2">
        <f t="shared" si="0"/>
        <v>0.44171861104964533</v>
      </c>
      <c r="D4" s="2">
        <f t="shared" si="0"/>
        <v>0.51020851205902484</v>
      </c>
      <c r="E4" s="33">
        <f t="shared" si="0"/>
        <v>0.44989059080962801</v>
      </c>
      <c r="F4" s="2">
        <f t="shared" si="0"/>
        <v>0.42127329003173947</v>
      </c>
      <c r="G4" s="33">
        <f t="shared" si="0"/>
        <v>0.41699189432602823</v>
      </c>
      <c r="H4" s="33">
        <f t="shared" ref="H4:N4" si="1">H3/H2</f>
        <v>0.40876656472986744</v>
      </c>
      <c r="I4" s="33">
        <f t="shared" si="1"/>
        <v>0.48854391256209584</v>
      </c>
      <c r="J4" s="33">
        <f>J3/J2</f>
        <v>0.41742857142857143</v>
      </c>
      <c r="K4" s="33">
        <f>K3/K2</f>
        <v>0.50360057609217479</v>
      </c>
      <c r="L4" s="62">
        <f>L3/L2</f>
        <v>0.57685142058686545</v>
      </c>
      <c r="M4" s="62">
        <f t="shared" si="1"/>
        <v>0.42734702013155274</v>
      </c>
      <c r="N4" s="63">
        <f t="shared" si="1"/>
        <v>0.33293697978596909</v>
      </c>
      <c r="O4" s="2">
        <f>N4-M4</f>
        <v>-9.4410040345583646E-2</v>
      </c>
      <c r="P4" s="2">
        <f>N4-J4</f>
        <v>-8.4491591642602337E-2</v>
      </c>
      <c r="R4" s="33"/>
      <c r="S4" s="4"/>
    </row>
    <row r="5" spans="1:19" ht="15.6" x14ac:dyDescent="0.3">
      <c r="A5" s="1" t="s">
        <v>108</v>
      </c>
      <c r="B5" s="1">
        <v>12.659000000000001</v>
      </c>
      <c r="C5" s="1">
        <v>17.382999999999999</v>
      </c>
      <c r="D5" s="1">
        <v>16.356999999999999</v>
      </c>
      <c r="E5" s="32">
        <v>18.86</v>
      </c>
      <c r="F5" s="1">
        <v>17.633808640000002</v>
      </c>
      <c r="G5" s="32">
        <v>19.420000000000002</v>
      </c>
      <c r="H5" s="32">
        <v>23.2</v>
      </c>
      <c r="I5" s="32">
        <v>20.09</v>
      </c>
      <c r="J5" s="32">
        <v>20.39</v>
      </c>
      <c r="K5" s="32">
        <v>20.68</v>
      </c>
      <c r="L5" s="32">
        <v>18.170000000000002</v>
      </c>
      <c r="M5" s="32">
        <f>28.73</f>
        <v>28.73</v>
      </c>
      <c r="N5" s="8">
        <v>28.05</v>
      </c>
      <c r="O5" s="3">
        <f>N5/M5-1</f>
        <v>-2.3668639053254448E-2</v>
      </c>
      <c r="P5" s="3">
        <f>N5/J5-1</f>
        <v>0.37567435017165285</v>
      </c>
      <c r="R5" s="32"/>
      <c r="S5" s="4"/>
    </row>
    <row r="6" spans="1:19" s="2" customFormat="1" ht="15.6" x14ac:dyDescent="0.3">
      <c r="A6" s="2" t="s">
        <v>109</v>
      </c>
      <c r="B6" s="2">
        <f t="shared" ref="B6:N6" si="2">B5/B2</f>
        <v>0.57413503307660008</v>
      </c>
      <c r="C6" s="2">
        <f t="shared" si="2"/>
        <v>0.55826629459618904</v>
      </c>
      <c r="D6" s="2">
        <f t="shared" si="2"/>
        <v>0.48978699640527423</v>
      </c>
      <c r="E6" s="33">
        <f t="shared" si="2"/>
        <v>0.55025528811086799</v>
      </c>
      <c r="F6" s="2">
        <f t="shared" si="2"/>
        <v>0.5787267099682607</v>
      </c>
      <c r="G6" s="33">
        <f t="shared" si="2"/>
        <v>0.58300810567397177</v>
      </c>
      <c r="H6" s="33">
        <f t="shared" si="2"/>
        <v>0.5912334352701325</v>
      </c>
      <c r="I6" s="33">
        <f t="shared" si="2"/>
        <v>0.51145634202045365</v>
      </c>
      <c r="J6" s="33">
        <f t="shared" si="2"/>
        <v>0.58257142857142863</v>
      </c>
      <c r="K6" s="33">
        <f t="shared" si="2"/>
        <v>0.49639942390782527</v>
      </c>
      <c r="L6" s="62">
        <f t="shared" si="2"/>
        <v>0.42314857941313466</v>
      </c>
      <c r="M6" s="62">
        <f t="shared" si="2"/>
        <v>0.57265297986844732</v>
      </c>
      <c r="N6" s="63">
        <f t="shared" si="2"/>
        <v>0.66706302021403097</v>
      </c>
      <c r="O6" s="2">
        <f>N6-M6</f>
        <v>9.4410040345583646E-2</v>
      </c>
      <c r="P6" s="2">
        <f>N6-J6</f>
        <v>8.4491591642602337E-2</v>
      </c>
      <c r="S6" s="4"/>
    </row>
    <row r="7" spans="1:19" ht="15.6" x14ac:dyDescent="0.3">
      <c r="A7" s="1" t="s">
        <v>12</v>
      </c>
      <c r="B7" s="1">
        <v>14.340249999999999</v>
      </c>
      <c r="C7" s="1">
        <v>18.378350000000001</v>
      </c>
      <c r="D7" s="1">
        <v>20.219360000000002</v>
      </c>
      <c r="E7" s="32">
        <v>20.689</v>
      </c>
      <c r="F7" s="1">
        <v>18.545750000000002</v>
      </c>
      <c r="G7" s="32">
        <v>20.45</v>
      </c>
      <c r="H7" s="32">
        <v>21.03</v>
      </c>
      <c r="I7" s="32">
        <v>20.414249999999996</v>
      </c>
      <c r="J7" s="32">
        <v>20.77</v>
      </c>
      <c r="K7" s="32">
        <v>24.17</v>
      </c>
      <c r="L7" s="32">
        <f>67.67-J7-K7</f>
        <v>22.730000000000004</v>
      </c>
      <c r="M7" s="32">
        <f>32.94</f>
        <v>32.94</v>
      </c>
      <c r="N7" s="8">
        <v>24.8</v>
      </c>
      <c r="O7" s="3">
        <f>N7/M7-1</f>
        <v>-0.24711596842744377</v>
      </c>
      <c r="P7" s="3">
        <f>N7/J7-1</f>
        <v>0.19402985074626877</v>
      </c>
      <c r="S7" s="4"/>
    </row>
    <row r="8" spans="1:19" s="2" customFormat="1" ht="15.6" x14ac:dyDescent="0.3">
      <c r="A8" s="2" t="s">
        <v>115</v>
      </c>
      <c r="B8" s="2">
        <f t="shared" ref="B8:G8" si="3">B7/B2</f>
        <v>0.65038627917503067</v>
      </c>
      <c r="C8" s="2">
        <f t="shared" si="3"/>
        <v>0.59023260399769151</v>
      </c>
      <c r="D8" s="2">
        <f t="shared" si="3"/>
        <v>0.60543984860530342</v>
      </c>
      <c r="E8" s="33">
        <f t="shared" si="3"/>
        <v>0.60361779722830056</v>
      </c>
      <c r="F8" s="2">
        <f t="shared" si="3"/>
        <v>0.60865585538042166</v>
      </c>
      <c r="G8" s="33">
        <f t="shared" si="3"/>
        <v>0.61392975082557788</v>
      </c>
      <c r="H8" s="33">
        <f t="shared" ref="H8:N8" si="4">H7/H2</f>
        <v>0.53593272171253825</v>
      </c>
      <c r="I8" s="33">
        <f t="shared" si="4"/>
        <v>0.51971118118920079</v>
      </c>
      <c r="J8" s="33">
        <f>J7/J2</f>
        <v>0.59342857142857142</v>
      </c>
      <c r="K8" s="33">
        <f>K7/K2</f>
        <v>0.58017282765242451</v>
      </c>
      <c r="L8" s="33">
        <f>L7/L2</f>
        <v>0.52934326967862144</v>
      </c>
      <c r="M8" s="33">
        <f t="shared" si="4"/>
        <v>0.65656766992226423</v>
      </c>
      <c r="N8" s="9">
        <f t="shared" si="4"/>
        <v>0.58977407847800245</v>
      </c>
      <c r="O8" s="2">
        <f>N8-M8</f>
        <v>-6.679359144426178E-2</v>
      </c>
      <c r="P8" s="2">
        <f>N8-J8</f>
        <v>-3.6544929505689661E-3</v>
      </c>
      <c r="S8" s="4"/>
    </row>
    <row r="9" spans="1:19" s="4" customFormat="1" ht="15.6" x14ac:dyDescent="0.3">
      <c r="A9" s="4" t="s">
        <v>13</v>
      </c>
      <c r="B9" s="4">
        <v>7.7085699999999999</v>
      </c>
      <c r="C9" s="4">
        <v>12.759119999999999</v>
      </c>
      <c r="D9" s="4">
        <v>13.17679</v>
      </c>
      <c r="E9" s="31">
        <v>13.586</v>
      </c>
      <c r="F9" s="4">
        <v>11.92426</v>
      </c>
      <c r="G9" s="31">
        <v>12.86</v>
      </c>
      <c r="H9" s="31">
        <v>18.21</v>
      </c>
      <c r="I9" s="31">
        <v>18.865739999999995</v>
      </c>
      <c r="J9" s="31">
        <v>14.23</v>
      </c>
      <c r="K9" s="31">
        <v>17.48</v>
      </c>
      <c r="L9" s="31">
        <f>51.92-J9-K9</f>
        <v>20.209999999999997</v>
      </c>
      <c r="M9" s="31">
        <v>17.23</v>
      </c>
      <c r="N9" s="7">
        <v>17.25</v>
      </c>
      <c r="O9" s="5">
        <f>N9/M9-1</f>
        <v>1.1607661056296514E-3</v>
      </c>
      <c r="P9" s="5">
        <f>N9/J9-1</f>
        <v>0.21222768798313418</v>
      </c>
    </row>
    <row r="10" spans="1:19" s="2" customFormat="1" ht="15.6" x14ac:dyDescent="0.3">
      <c r="A10" s="2" t="s">
        <v>83</v>
      </c>
      <c r="B10" s="2">
        <f t="shared" ref="B10:G10" si="5">B9/B2</f>
        <v>0.34961372082496933</v>
      </c>
      <c r="C10" s="2">
        <f t="shared" si="5"/>
        <v>0.40976739600230844</v>
      </c>
      <c r="D10" s="2">
        <f t="shared" si="5"/>
        <v>0.39456015139469675</v>
      </c>
      <c r="E10" s="33">
        <f t="shared" si="5"/>
        <v>0.3963822027716995</v>
      </c>
      <c r="F10" s="2">
        <f t="shared" si="5"/>
        <v>0.39134414461957845</v>
      </c>
      <c r="G10" s="33">
        <f t="shared" si="5"/>
        <v>0.38607024917442206</v>
      </c>
      <c r="H10" s="33">
        <f t="shared" ref="H10:N10" si="6">H9/H2</f>
        <v>0.46406727828746175</v>
      </c>
      <c r="I10" s="33">
        <f t="shared" si="6"/>
        <v>0.48028881881079888</v>
      </c>
      <c r="J10" s="33">
        <f t="shared" si="6"/>
        <v>0.40657142857142858</v>
      </c>
      <c r="K10" s="33">
        <f t="shared" si="6"/>
        <v>0.41958713394143066</v>
      </c>
      <c r="L10" s="33">
        <f t="shared" si="6"/>
        <v>0.47065673032137861</v>
      </c>
      <c r="M10" s="33">
        <f t="shared" si="6"/>
        <v>0.34343233007773571</v>
      </c>
      <c r="N10" s="9">
        <f t="shared" si="6"/>
        <v>0.41022592152199766</v>
      </c>
      <c r="O10" s="2">
        <f>N10-M10</f>
        <v>6.6793591444261946E-2</v>
      </c>
      <c r="P10" s="2">
        <f>N10-J10</f>
        <v>3.6544929505690771E-3</v>
      </c>
      <c r="S10" s="4"/>
    </row>
    <row r="11" spans="1:19" ht="15.6" x14ac:dyDescent="0.3">
      <c r="A11" s="1" t="s">
        <v>14</v>
      </c>
      <c r="B11" s="1">
        <v>0.39284999999999998</v>
      </c>
      <c r="C11" s="1">
        <v>1.208E-2</v>
      </c>
      <c r="D11" s="1">
        <v>0.66849999999999998</v>
      </c>
      <c r="E11" s="32">
        <v>1.0029999999999999</v>
      </c>
      <c r="F11" s="1">
        <v>0.39810000000000001</v>
      </c>
      <c r="G11" s="32">
        <v>0.27</v>
      </c>
      <c r="H11" s="32">
        <v>0.63</v>
      </c>
      <c r="I11" s="32">
        <v>2.0019</v>
      </c>
      <c r="J11" s="32">
        <v>0.89</v>
      </c>
      <c r="K11" s="32">
        <v>0.32</v>
      </c>
      <c r="L11" s="32">
        <f>1.69-J11-K11</f>
        <v>0.47999999999999993</v>
      </c>
      <c r="M11" s="32">
        <v>0.39</v>
      </c>
      <c r="N11" s="8">
        <v>0.44</v>
      </c>
      <c r="O11" s="3">
        <f t="shared" ref="O11:O12" si="7">N11/M11-1</f>
        <v>0.12820512820512819</v>
      </c>
      <c r="P11" s="3">
        <f t="shared" ref="P11:P12" si="8">N11/J11-1</f>
        <v>-0.5056179775280899</v>
      </c>
      <c r="S11" s="4"/>
    </row>
    <row r="12" spans="1:19" ht="15.6" x14ac:dyDescent="0.3">
      <c r="A12" s="1" t="s">
        <v>15</v>
      </c>
      <c r="B12" s="1">
        <v>5.5493600000000001</v>
      </c>
      <c r="C12" s="1">
        <v>7.50021</v>
      </c>
      <c r="D12" s="1">
        <v>8.3685799999999997</v>
      </c>
      <c r="E12" s="32">
        <v>8.99</v>
      </c>
      <c r="F12" s="1">
        <v>6.9743899999999996</v>
      </c>
      <c r="G12" s="32">
        <v>7.64</v>
      </c>
      <c r="H12" s="32">
        <v>11.76</v>
      </c>
      <c r="I12" s="32">
        <v>9.8556099999999969</v>
      </c>
      <c r="J12" s="32">
        <v>9.5399999999999991</v>
      </c>
      <c r="K12" s="32">
        <v>10.95</v>
      </c>
      <c r="L12" s="32">
        <f>32.73-J12-K12</f>
        <v>12.239999999999998</v>
      </c>
      <c r="M12" s="32">
        <v>9.67</v>
      </c>
      <c r="N12" s="8">
        <v>10.19</v>
      </c>
      <c r="O12" s="3">
        <f t="shared" si="7"/>
        <v>5.3774560496380408E-2</v>
      </c>
      <c r="P12" s="3">
        <f t="shared" si="8"/>
        <v>6.8134171907756835E-2</v>
      </c>
      <c r="S12" s="4"/>
    </row>
    <row r="13" spans="1:19" s="2" customFormat="1" ht="15.6" x14ac:dyDescent="0.3">
      <c r="A13" s="2" t="s">
        <v>80</v>
      </c>
      <c r="B13" s="2">
        <f t="shared" ref="B13:N13" si="9">B12/B2</f>
        <v>0.25168512419258721</v>
      </c>
      <c r="C13" s="2">
        <f t="shared" si="9"/>
        <v>0.24087409799190493</v>
      </c>
      <c r="D13" s="2">
        <f t="shared" si="9"/>
        <v>0.25058517224290822</v>
      </c>
      <c r="E13" s="33">
        <f t="shared" si="9"/>
        <v>0.26229029905178702</v>
      </c>
      <c r="F13" s="2">
        <f t="shared" si="9"/>
        <v>0.22889359077991769</v>
      </c>
      <c r="G13" s="33">
        <f t="shared" si="9"/>
        <v>0.22936055238667064</v>
      </c>
      <c r="H13" s="33">
        <f t="shared" si="9"/>
        <v>0.29969418960244648</v>
      </c>
      <c r="I13" s="33">
        <f t="shared" si="9"/>
        <v>0.25090663210453962</v>
      </c>
      <c r="J13" s="33">
        <f t="shared" si="9"/>
        <v>0.27257142857142852</v>
      </c>
      <c r="K13" s="33">
        <f t="shared" si="9"/>
        <v>0.2628420547287566</v>
      </c>
      <c r="L13" s="33">
        <f t="shared" si="9"/>
        <v>0.28504890544946437</v>
      </c>
      <c r="M13" s="33">
        <f t="shared" si="9"/>
        <v>0.19274466812836355</v>
      </c>
      <c r="N13" s="9">
        <f t="shared" si="9"/>
        <v>0.2423305588585018</v>
      </c>
      <c r="O13" s="2">
        <f>N13-M13</f>
        <v>4.9585890730138249E-2</v>
      </c>
      <c r="P13" s="2">
        <f>N13-J13</f>
        <v>-3.0240869712926721E-2</v>
      </c>
      <c r="S13" s="4"/>
    </row>
    <row r="14" spans="1:19" ht="15.6" x14ac:dyDescent="0.3">
      <c r="A14" s="1" t="s">
        <v>16</v>
      </c>
      <c r="B14" s="1">
        <v>2.9874100000000001</v>
      </c>
      <c r="C14" s="1">
        <v>4.1910499999999997</v>
      </c>
      <c r="D14" s="1">
        <v>2.6489500000000001</v>
      </c>
      <c r="E14" s="32">
        <v>2.8969999999999998</v>
      </c>
      <c r="F14" s="1">
        <v>4.37737</v>
      </c>
      <c r="G14" s="32">
        <v>4.18</v>
      </c>
      <c r="H14" s="32">
        <v>5.0599999999999996</v>
      </c>
      <c r="I14" s="32">
        <v>6.2626300000000006</v>
      </c>
      <c r="J14" s="32">
        <v>4.72</v>
      </c>
      <c r="K14" s="32">
        <v>4.67</v>
      </c>
      <c r="L14" s="32">
        <f>14.88-J14-K14</f>
        <v>5.49</v>
      </c>
      <c r="M14" s="32">
        <v>6.25</v>
      </c>
      <c r="N14" s="8">
        <v>5.62</v>
      </c>
      <c r="O14" s="64">
        <f>N14/M14-1</f>
        <v>-0.1008</v>
      </c>
      <c r="P14" s="3">
        <f>N14/J14-1</f>
        <v>0.19067796610169507</v>
      </c>
      <c r="R14" s="39"/>
      <c r="S14" s="4"/>
    </row>
    <row r="15" spans="1:19" s="2" customFormat="1" ht="15.6" x14ac:dyDescent="0.3">
      <c r="A15" s="2" t="s">
        <v>81</v>
      </c>
      <c r="B15" s="2">
        <f t="shared" ref="B15:G15" si="10">B14/B2</f>
        <v>0.13549069746136075</v>
      </c>
      <c r="C15" s="2">
        <f t="shared" si="10"/>
        <v>0.13459828303327148</v>
      </c>
      <c r="D15" s="2">
        <f t="shared" si="10"/>
        <v>7.9319023300590041E-2</v>
      </c>
      <c r="E15" s="33">
        <f t="shared" si="10"/>
        <v>8.4522246535375642E-2</v>
      </c>
      <c r="F15" s="2">
        <f t="shared" si="10"/>
        <v>0.14366158724595102</v>
      </c>
      <c r="G15" s="33">
        <f t="shared" si="10"/>
        <v>0.12548784148904232</v>
      </c>
      <c r="H15" s="33">
        <f t="shared" ref="H15:N15" si="11">H14/H2</f>
        <v>0.12895005096839957</v>
      </c>
      <c r="I15" s="33">
        <f t="shared" si="11"/>
        <v>0.15943563122088369</v>
      </c>
      <c r="J15" s="33">
        <f>J14/J2</f>
        <v>0.13485714285714284</v>
      </c>
      <c r="K15" s="33">
        <f>K14/K2</f>
        <v>0.11209793566970716</v>
      </c>
      <c r="L15" s="33">
        <f>L14/L2</f>
        <v>0.12785281788542152</v>
      </c>
      <c r="M15" s="33">
        <f t="shared" si="11"/>
        <v>0.12457644010364759</v>
      </c>
      <c r="N15" s="9">
        <f t="shared" si="11"/>
        <v>0.13365041617122475</v>
      </c>
      <c r="O15" s="2">
        <f>N15-M15</f>
        <v>9.0739760675771636E-3</v>
      </c>
      <c r="P15" s="2">
        <f>N15-J15</f>
        <v>-1.2067266859180914E-3</v>
      </c>
      <c r="S15" s="4"/>
    </row>
    <row r="16" spans="1:19" ht="15.6" x14ac:dyDescent="0.3">
      <c r="A16" s="1" t="s">
        <v>25</v>
      </c>
      <c r="B16" s="1">
        <v>4.4339999999999997E-2</v>
      </c>
      <c r="C16" s="1">
        <v>5.2929999999999998E-2</v>
      </c>
      <c r="D16" s="1">
        <v>1.25789</v>
      </c>
      <c r="E16" s="32">
        <v>-0.67600000000000005</v>
      </c>
      <c r="F16" s="1">
        <v>0.26418999999999998</v>
      </c>
      <c r="G16" s="32">
        <v>0.2</v>
      </c>
      <c r="H16" s="32">
        <v>0.3</v>
      </c>
      <c r="I16" s="32">
        <v>1.0358100000000001</v>
      </c>
      <c r="J16" s="32">
        <v>0.05</v>
      </c>
      <c r="K16" s="32">
        <v>0.28999999999999998</v>
      </c>
      <c r="L16" s="32">
        <f>0.65-J16-K16</f>
        <v>0.31</v>
      </c>
      <c r="M16" s="32">
        <v>0.54</v>
      </c>
      <c r="N16" s="8">
        <v>0.4</v>
      </c>
      <c r="O16" s="64">
        <f>N16/M16-1</f>
        <v>-0.2592592592592593</v>
      </c>
      <c r="P16" s="3">
        <f>N16/J16-1</f>
        <v>7</v>
      </c>
      <c r="S16" s="4"/>
    </row>
    <row r="17" spans="1:19" s="4" customFormat="1" ht="15.6" x14ac:dyDescent="0.3">
      <c r="A17" s="4" t="s">
        <v>82</v>
      </c>
      <c r="B17" s="4">
        <v>0.54974999999999996</v>
      </c>
      <c r="C17" s="4">
        <v>2.0346000000000002</v>
      </c>
      <c r="D17" s="4">
        <v>2.6976900000000001</v>
      </c>
      <c r="E17" s="31">
        <v>4.67</v>
      </c>
      <c r="F17" s="4">
        <v>1.9411799999999999</v>
      </c>
      <c r="G17" s="31">
        <v>2.34</v>
      </c>
      <c r="H17" s="31">
        <v>3</v>
      </c>
      <c r="I17" s="31">
        <v>5.0188200000000016</v>
      </c>
      <c r="J17" s="31">
        <v>2.3199999999999998</v>
      </c>
      <c r="K17" s="31">
        <v>3.49</v>
      </c>
      <c r="L17" s="31">
        <v>4.34</v>
      </c>
      <c r="M17" s="31">
        <v>3.65</v>
      </c>
      <c r="N17" s="7">
        <f>1.48+1.98</f>
        <v>3.46</v>
      </c>
      <c r="O17" s="5">
        <f>N17/M17-1</f>
        <v>-5.2054794520547953E-2</v>
      </c>
      <c r="P17" s="5">
        <f>N17/J17-1</f>
        <v>0.49137931034482762</v>
      </c>
    </row>
    <row r="18" spans="1:19" s="2" customFormat="1" ht="15.6" x14ac:dyDescent="0.3">
      <c r="A18" s="2" t="s">
        <v>84</v>
      </c>
      <c r="B18" s="2">
        <f t="shared" ref="B18:N18" si="12">B17/B2</f>
        <v>2.4933307088542606E-2</v>
      </c>
      <c r="C18" s="2">
        <f t="shared" si="12"/>
        <v>6.5342495713364007E-2</v>
      </c>
      <c r="D18" s="2">
        <f t="shared" si="12"/>
        <v>8.0778472967692388E-2</v>
      </c>
      <c r="E18" s="33">
        <f t="shared" si="12"/>
        <v>0.1362509117432531</v>
      </c>
      <c r="F18" s="2">
        <f t="shared" si="12"/>
        <v>6.3707888510702818E-2</v>
      </c>
      <c r="G18" s="33">
        <f t="shared" si="12"/>
        <v>7.0249174422095453E-2</v>
      </c>
      <c r="H18" s="33">
        <f t="shared" si="12"/>
        <v>7.64525993883792E-2</v>
      </c>
      <c r="I18" s="33">
        <f t="shared" si="12"/>
        <v>0.1277703991268837</v>
      </c>
      <c r="J18" s="33">
        <f t="shared" si="12"/>
        <v>6.6285714285714281E-2</v>
      </c>
      <c r="K18" s="33">
        <f t="shared" si="12"/>
        <v>8.3773403744599143E-2</v>
      </c>
      <c r="L18" s="33">
        <f t="shared" si="12"/>
        <v>0.10107126222636237</v>
      </c>
      <c r="M18" s="33">
        <f t="shared" si="12"/>
        <v>7.2752641020530195E-2</v>
      </c>
      <c r="N18" s="9">
        <f t="shared" si="12"/>
        <v>8.2282996432818084E-2</v>
      </c>
      <c r="O18" s="2">
        <f>N18-M18</f>
        <v>9.5303554122878886E-3</v>
      </c>
      <c r="P18" s="2">
        <f>N18-J18</f>
        <v>1.5997282147103803E-2</v>
      </c>
      <c r="S18" s="4"/>
    </row>
    <row r="19" spans="1:19" s="4" customFormat="1" ht="15.6" x14ac:dyDescent="0.3">
      <c r="A19" s="4" t="s">
        <v>17</v>
      </c>
      <c r="B19" s="4">
        <v>-0.47969000000000001</v>
      </c>
      <c r="C19" s="4">
        <v>1.02701</v>
      </c>
      <c r="D19" s="4">
        <v>1.5698700000000001</v>
      </c>
      <c r="E19" s="31">
        <v>3.3780000000000001</v>
      </c>
      <c r="F19" s="4">
        <v>0.70640999999999998</v>
      </c>
      <c r="G19" s="31">
        <v>1.1200000000000001</v>
      </c>
      <c r="H19" s="31">
        <v>1.72</v>
      </c>
      <c r="I19" s="31">
        <v>3.7135899999999999</v>
      </c>
      <c r="J19" s="31">
        <v>0.81</v>
      </c>
      <c r="K19" s="31">
        <v>1.89</v>
      </c>
      <c r="L19" s="31">
        <f>5.36-J19-K19</f>
        <v>2.660000000000001</v>
      </c>
      <c r="M19" s="31">
        <v>1.1599999999999999</v>
      </c>
      <c r="N19" s="7">
        <v>1.48</v>
      </c>
      <c r="O19" s="5">
        <f>N19/M19-1</f>
        <v>0.27586206896551735</v>
      </c>
      <c r="P19" s="5">
        <f>N19/J19-1</f>
        <v>0.82716049382716039</v>
      </c>
    </row>
    <row r="20" spans="1:19" s="2" customFormat="1" ht="15.6" x14ac:dyDescent="0.3">
      <c r="A20" s="2" t="s">
        <v>85</v>
      </c>
      <c r="B20" s="2">
        <f t="shared" ref="B20:G20" si="13">B19/B2</f>
        <v>-2.1755812782724881E-2</v>
      </c>
      <c r="C20" s="2">
        <f t="shared" si="13"/>
        <v>3.2983090790613366E-2</v>
      </c>
      <c r="D20" s="2">
        <f t="shared" si="13"/>
        <v>4.7007514339227729E-2</v>
      </c>
      <c r="E20" s="33">
        <f t="shared" si="13"/>
        <v>9.8555798687089718E-2</v>
      </c>
      <c r="F20" s="2">
        <f t="shared" si="13"/>
        <v>2.3183779723078529E-2</v>
      </c>
      <c r="G20" s="33">
        <f t="shared" si="13"/>
        <v>3.3623536475532873E-2</v>
      </c>
      <c r="H20" s="33">
        <f t="shared" ref="H20:N20" si="14">H19/H2</f>
        <v>4.383282364933741E-2</v>
      </c>
      <c r="I20" s="33">
        <f t="shared" si="14"/>
        <v>9.4541521013625493E-2</v>
      </c>
      <c r="J20" s="33">
        <f>J19/J2</f>
        <v>2.3142857142857146E-2</v>
      </c>
      <c r="K20" s="33">
        <f>K19/K2</f>
        <v>4.5367258761401824E-2</v>
      </c>
      <c r="L20" s="33">
        <f>L19/L2</f>
        <v>6.1946902654867284E-2</v>
      </c>
      <c r="M20" s="33">
        <f t="shared" si="14"/>
        <v>2.3121387283236993E-2</v>
      </c>
      <c r="N20" s="9">
        <f t="shared" si="14"/>
        <v>3.5196195005945306E-2</v>
      </c>
      <c r="O20" s="2">
        <f>N20-M20</f>
        <v>1.2074807722708313E-2</v>
      </c>
      <c r="P20" s="2">
        <f>N20-J20</f>
        <v>1.2053337863088161E-2</v>
      </c>
      <c r="Q20" s="1"/>
      <c r="S20" s="4"/>
    </row>
    <row r="21" spans="1:19" ht="15.6" x14ac:dyDescent="0.3">
      <c r="A21" s="1" t="s">
        <v>18</v>
      </c>
      <c r="B21" s="1">
        <v>5.79E-3</v>
      </c>
      <c r="C21" s="1">
        <v>0.90966999999999998</v>
      </c>
      <c r="D21" s="1">
        <v>-0.11751</v>
      </c>
      <c r="E21" s="32">
        <v>-0.76600000000000001</v>
      </c>
      <c r="F21" s="1">
        <v>0.27355000000000002</v>
      </c>
      <c r="G21" s="32">
        <v>0.55000000000000004</v>
      </c>
      <c r="H21" s="32">
        <v>0.2</v>
      </c>
      <c r="I21" s="32">
        <v>1.12645</v>
      </c>
      <c r="J21" s="32">
        <v>0.41</v>
      </c>
      <c r="K21" s="32">
        <v>0.1</v>
      </c>
      <c r="L21" s="32">
        <v>0</v>
      </c>
      <c r="M21" s="32">
        <v>0</v>
      </c>
      <c r="N21" s="8">
        <v>0</v>
      </c>
      <c r="O21" s="64" t="e">
        <f t="shared" ref="O21:O26" si="15">N21/M21-1</f>
        <v>#DIV/0!</v>
      </c>
      <c r="P21" s="3">
        <f t="shared" ref="P21:P26" si="16">N21/J21-1</f>
        <v>-1</v>
      </c>
      <c r="R21" s="3"/>
      <c r="S21" s="4"/>
    </row>
    <row r="22" spans="1:19" ht="15.6" x14ac:dyDescent="0.3">
      <c r="A22" s="1" t="s">
        <v>19</v>
      </c>
      <c r="B22" s="1">
        <v>0.31764999999999999</v>
      </c>
      <c r="C22" s="1">
        <v>0.45889999999999997</v>
      </c>
      <c r="D22" s="1">
        <v>0.22414999999999999</v>
      </c>
      <c r="E22" s="32">
        <v>0.56599999999999995</v>
      </c>
      <c r="F22" s="1">
        <v>0.15847</v>
      </c>
      <c r="G22" s="32">
        <v>0.18</v>
      </c>
      <c r="H22" s="32">
        <v>0.19</v>
      </c>
      <c r="I22" s="32">
        <v>0.21153</v>
      </c>
      <c r="J22" s="32">
        <v>0.23</v>
      </c>
      <c r="K22" s="32">
        <v>0.26</v>
      </c>
      <c r="L22" s="32">
        <f>0.82-J22-K22+0.26</f>
        <v>0.59</v>
      </c>
      <c r="M22" s="32">
        <v>1.56</v>
      </c>
      <c r="N22" s="8">
        <v>0.4</v>
      </c>
      <c r="O22" s="3">
        <f t="shared" si="15"/>
        <v>-0.74358974358974361</v>
      </c>
      <c r="P22" s="3">
        <f t="shared" si="16"/>
        <v>0.73913043478260865</v>
      </c>
      <c r="S22" s="4"/>
    </row>
    <row r="23" spans="1:19" ht="15.6" x14ac:dyDescent="0.3">
      <c r="A23" s="1" t="s">
        <v>20</v>
      </c>
      <c r="B23" s="1">
        <v>-0.79154999999999998</v>
      </c>
      <c r="C23" s="1">
        <v>1.4777800000000001</v>
      </c>
      <c r="D23" s="1">
        <v>1.22821</v>
      </c>
      <c r="E23" s="32">
        <v>2.0459999999999998</v>
      </c>
      <c r="F23" s="1">
        <v>0.82149000000000005</v>
      </c>
      <c r="G23" s="32">
        <v>1.49</v>
      </c>
      <c r="H23" s="32">
        <v>1.73</v>
      </c>
      <c r="I23" s="32">
        <v>4.6285100000000003</v>
      </c>
      <c r="J23" s="32">
        <v>0.99</v>
      </c>
      <c r="K23" s="32">
        <v>1.73</v>
      </c>
      <c r="L23" s="32">
        <f>4.79-J23-K23</f>
        <v>2.0699999999999998</v>
      </c>
      <c r="M23" s="32">
        <v>-0.4</v>
      </c>
      <c r="N23" s="8">
        <v>1.08</v>
      </c>
      <c r="O23" s="3">
        <f>N23/M23-1</f>
        <v>-3.7</v>
      </c>
      <c r="P23" s="3">
        <f>N23/J23-1</f>
        <v>9.090909090909105E-2</v>
      </c>
      <c r="S23" s="4"/>
    </row>
    <row r="24" spans="1:19" ht="15.6" x14ac:dyDescent="0.3">
      <c r="A24" s="1" t="s">
        <v>21</v>
      </c>
      <c r="B24" s="1">
        <v>-3.9579999999999997E-2</v>
      </c>
      <c r="C24" s="1">
        <v>-2.2599999999999999E-3</v>
      </c>
      <c r="D24" s="1">
        <v>4.7910000000000001E-2</v>
      </c>
      <c r="E24" s="32">
        <v>0.82199999999999995</v>
      </c>
      <c r="F24" s="1">
        <v>1.49E-3</v>
      </c>
      <c r="G24" s="32">
        <v>0</v>
      </c>
      <c r="H24" s="32">
        <v>0.03</v>
      </c>
      <c r="I24" s="32">
        <v>1.64</v>
      </c>
      <c r="J24" s="32">
        <v>-0.01</v>
      </c>
      <c r="K24" s="32">
        <v>0.2</v>
      </c>
      <c r="L24" s="32">
        <f>-0.11-J24-K24</f>
        <v>-0.30000000000000004</v>
      </c>
      <c r="M24" s="32">
        <v>0.21</v>
      </c>
      <c r="N24" s="8">
        <v>0.01</v>
      </c>
      <c r="O24" s="3">
        <f t="shared" si="15"/>
        <v>-0.95238095238095233</v>
      </c>
      <c r="P24" s="3">
        <f t="shared" si="16"/>
        <v>-2</v>
      </c>
      <c r="S24" s="4"/>
    </row>
    <row r="25" spans="1:19" ht="15.6" x14ac:dyDescent="0.3">
      <c r="A25" s="1" t="s">
        <v>22</v>
      </c>
      <c r="B25" s="1">
        <v>-0.72724</v>
      </c>
      <c r="C25" s="1">
        <v>1.25088</v>
      </c>
      <c r="D25" s="1">
        <v>1.2783100000000001</v>
      </c>
      <c r="E25" s="32">
        <v>1.224</v>
      </c>
      <c r="F25" s="1">
        <v>0.84189999999999998</v>
      </c>
      <c r="G25" s="32">
        <v>1.3</v>
      </c>
      <c r="H25" s="32">
        <v>1.7</v>
      </c>
      <c r="I25" s="32">
        <v>3.1581000000000001</v>
      </c>
      <c r="J25" s="32">
        <v>1</v>
      </c>
      <c r="K25" s="32">
        <v>1.53</v>
      </c>
      <c r="L25" s="32">
        <f>L23-L24</f>
        <v>2.37</v>
      </c>
      <c r="M25" s="32">
        <v>-0.62</v>
      </c>
      <c r="N25" s="8">
        <v>1.07</v>
      </c>
      <c r="O25" s="3">
        <f t="shared" si="15"/>
        <v>-2.725806451612903</v>
      </c>
      <c r="P25" s="3">
        <f t="shared" si="16"/>
        <v>7.0000000000000062E-2</v>
      </c>
      <c r="S25" s="4"/>
    </row>
    <row r="26" spans="1:19" s="4" customFormat="1" ht="15.6" x14ac:dyDescent="0.3">
      <c r="A26" s="4" t="s">
        <v>26</v>
      </c>
      <c r="B26" s="4">
        <v>-0.73</v>
      </c>
      <c r="C26" s="4">
        <v>1.25088</v>
      </c>
      <c r="D26" s="4">
        <v>1.2783100000000001</v>
      </c>
      <c r="E26" s="31">
        <v>1.224</v>
      </c>
      <c r="F26" s="4">
        <v>0.84189999999999998</v>
      </c>
      <c r="G26" s="31">
        <v>1.3</v>
      </c>
      <c r="H26" s="31">
        <v>2.12</v>
      </c>
      <c r="I26" s="31">
        <v>2.7381000000000002</v>
      </c>
      <c r="J26" s="31">
        <v>1.1399999999999999</v>
      </c>
      <c r="K26" s="31">
        <v>1.43</v>
      </c>
      <c r="L26" s="31">
        <f>5.01-J26-K26</f>
        <v>2.4400000000000004</v>
      </c>
      <c r="M26" s="31">
        <v>-0.7</v>
      </c>
      <c r="N26" s="7">
        <v>1.3</v>
      </c>
      <c r="O26" s="5">
        <f t="shared" si="15"/>
        <v>-2.8571428571428577</v>
      </c>
      <c r="P26" s="5">
        <f t="shared" si="16"/>
        <v>0.14035087719298267</v>
      </c>
    </row>
    <row r="27" spans="1:19" s="2" customFormat="1" ht="15.6" x14ac:dyDescent="0.3">
      <c r="A27" s="48" t="s">
        <v>86</v>
      </c>
      <c r="B27" s="48">
        <f t="shared" ref="B27:N27" si="17">B26/B2</f>
        <v>-3.3108347748314879E-2</v>
      </c>
      <c r="C27" s="48">
        <f t="shared" si="17"/>
        <v>4.0172820720501698E-2</v>
      </c>
      <c r="D27" s="48">
        <f t="shared" si="17"/>
        <v>3.8277166679392689E-2</v>
      </c>
      <c r="E27" s="49">
        <f t="shared" si="17"/>
        <v>3.5711159737417945E-2</v>
      </c>
      <c r="F27" s="48">
        <f t="shared" si="17"/>
        <v>2.7630447118330452E-2</v>
      </c>
      <c r="G27" s="49">
        <f t="shared" si="17"/>
        <v>3.9027319123386368E-2</v>
      </c>
      <c r="H27" s="49">
        <f t="shared" si="17"/>
        <v>5.4026503567787973E-2</v>
      </c>
      <c r="I27" s="49">
        <f t="shared" si="17"/>
        <v>6.9707247888810553E-2</v>
      </c>
      <c r="J27" s="49">
        <f t="shared" si="17"/>
        <v>3.2571428571428571E-2</v>
      </c>
      <c r="K27" s="49">
        <f t="shared" si="17"/>
        <v>3.4325492078732596E-2</v>
      </c>
      <c r="L27" s="49">
        <f t="shared" si="17"/>
        <v>5.6823474615742907E-2</v>
      </c>
      <c r="M27" s="49">
        <f t="shared" si="17"/>
        <v>-1.3952561291608529E-2</v>
      </c>
      <c r="N27" s="50">
        <f t="shared" si="17"/>
        <v>3.0915576694411417E-2</v>
      </c>
      <c r="O27" s="2">
        <f>N27-M27</f>
        <v>4.4868137986019949E-2</v>
      </c>
      <c r="P27" s="2">
        <f>N27-J27</f>
        <v>-1.6558518770171532E-3</v>
      </c>
      <c r="S27" s="4"/>
    </row>
    <row r="28" spans="1:19" ht="15.6" x14ac:dyDescent="0.3">
      <c r="A28" s="51" t="s">
        <v>23</v>
      </c>
      <c r="B28" s="51">
        <v>-0.727746</v>
      </c>
      <c r="C28" s="51">
        <v>1.25088</v>
      </c>
      <c r="D28" s="51">
        <v>1.2783100000000001</v>
      </c>
      <c r="E28" s="52">
        <v>1.208</v>
      </c>
      <c r="F28" s="51">
        <v>0.84189999999999998</v>
      </c>
      <c r="G28" s="52">
        <v>1.3</v>
      </c>
      <c r="H28" s="52">
        <v>2.12</v>
      </c>
      <c r="I28" s="52">
        <v>2.8281000000000001</v>
      </c>
      <c r="J28" s="52">
        <v>1.1399999999999999</v>
      </c>
      <c r="K28" s="52">
        <v>1.43</v>
      </c>
      <c r="L28" s="52">
        <f>L26</f>
        <v>2.4400000000000004</v>
      </c>
      <c r="M28" s="52">
        <v>-0.7</v>
      </c>
      <c r="N28" s="53">
        <v>1.3</v>
      </c>
      <c r="O28" s="54">
        <f t="shared" ref="O28:O29" si="18">N28/M28-1</f>
        <v>-2.8571428571428577</v>
      </c>
      <c r="P28" s="54">
        <f t="shared" ref="P28:P29" si="19">N28/J28-1</f>
        <v>0.14035087719298267</v>
      </c>
      <c r="S28" s="4"/>
    </row>
    <row r="29" spans="1:19" ht="15.6" x14ac:dyDescent="0.3">
      <c r="A29" s="47" t="s">
        <v>24</v>
      </c>
      <c r="B29" s="47">
        <v>-0.1</v>
      </c>
      <c r="C29" s="47">
        <v>0.17</v>
      </c>
      <c r="D29" s="47">
        <v>0.18</v>
      </c>
      <c r="E29" s="55">
        <v>0.17</v>
      </c>
      <c r="F29" s="47">
        <v>0.12</v>
      </c>
      <c r="G29" s="55">
        <v>0.18</v>
      </c>
      <c r="H29" s="55">
        <v>0.28999999999999998</v>
      </c>
      <c r="I29" s="55">
        <v>0.39999999999999997</v>
      </c>
      <c r="J29" s="55">
        <v>0.16</v>
      </c>
      <c r="K29" s="55">
        <v>0.2</v>
      </c>
      <c r="L29" s="55">
        <v>0.34</v>
      </c>
      <c r="M29" s="55">
        <v>-0.1</v>
      </c>
      <c r="N29" s="56">
        <v>0.18</v>
      </c>
      <c r="O29" s="57">
        <f t="shared" si="18"/>
        <v>-2.8</v>
      </c>
      <c r="P29" s="57">
        <f t="shared" si="19"/>
        <v>0.125</v>
      </c>
      <c r="S29" s="4"/>
    </row>
    <row r="30" spans="1:19" x14ac:dyDescent="0.25">
      <c r="A30" s="58"/>
    </row>
    <row r="34" spans="10:10" x14ac:dyDescent="0.25">
      <c r="J34" s="4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25"/>
  <sheetViews>
    <sheetView zoomScaleNormal="100" workbookViewId="0">
      <pane xSplit="1" ySplit="1" topLeftCell="L2" activePane="bottomRight" state="frozenSplit"/>
      <selection sqref="A1:A1048576"/>
      <selection pane="topRight" activeCell="B1" sqref="B1"/>
      <selection pane="bottomLeft" activeCell="A28" sqref="A28"/>
      <selection pane="bottomRight"/>
    </sheetView>
  </sheetViews>
  <sheetFormatPr defaultColWidth="10.54296875" defaultRowHeight="15" x14ac:dyDescent="0.25"/>
  <cols>
    <col min="1" max="1" width="50.54296875" style="10" bestFit="1" customWidth="1"/>
    <col min="2" max="11" width="10.54296875" style="10"/>
    <col min="12" max="12" width="10.54296875" style="10" customWidth="1"/>
    <col min="13" max="14" width="10.54296875" style="35" customWidth="1"/>
    <col min="15" max="15" width="10.54296875" style="35"/>
    <col min="16" max="16" width="10.54296875" style="10"/>
    <col min="17" max="18" width="10.54296875" style="3"/>
    <col min="19" max="16384" width="10.54296875" style="10"/>
  </cols>
  <sheetData>
    <row r="1" spans="1:18" s="4" customFormat="1" ht="15.6" x14ac:dyDescent="0.3">
      <c r="A1" s="6" t="s">
        <v>119</v>
      </c>
      <c r="B1" s="38" t="s">
        <v>117</v>
      </c>
      <c r="C1" s="38" t="s">
        <v>118</v>
      </c>
      <c r="D1" s="38" t="s">
        <v>27</v>
      </c>
      <c r="E1" s="38" t="s">
        <v>28</v>
      </c>
      <c r="F1" s="38" t="s">
        <v>29</v>
      </c>
      <c r="G1" s="38" t="s">
        <v>30</v>
      </c>
      <c r="H1" s="4" t="s">
        <v>31</v>
      </c>
      <c r="I1" s="4" t="s">
        <v>155</v>
      </c>
      <c r="J1" s="4" t="s">
        <v>154</v>
      </c>
      <c r="K1" s="4" t="s">
        <v>156</v>
      </c>
      <c r="L1" s="4" t="s">
        <v>159</v>
      </c>
      <c r="M1" s="42" t="s">
        <v>162</v>
      </c>
      <c r="N1" s="42" t="s">
        <v>164</v>
      </c>
      <c r="O1" s="42" t="s">
        <v>167</v>
      </c>
      <c r="P1" s="34" t="s">
        <v>170</v>
      </c>
      <c r="Q1" s="5" t="s">
        <v>78</v>
      </c>
      <c r="R1" s="5" t="s">
        <v>77</v>
      </c>
    </row>
    <row r="2" spans="1:18" s="11" customFormat="1" ht="15.6" x14ac:dyDescent="0.3">
      <c r="A2" s="11" t="s">
        <v>88</v>
      </c>
      <c r="Q2" s="12"/>
      <c r="R2" s="12"/>
    </row>
    <row r="3" spans="1:18" s="38" customFormat="1" ht="15.6" x14ac:dyDescent="0.3">
      <c r="A3" s="38" t="s">
        <v>32</v>
      </c>
      <c r="B3" s="38">
        <v>40.344999999999999</v>
      </c>
      <c r="C3" s="38">
        <v>47.609000000000002</v>
      </c>
      <c r="D3" s="38">
        <v>47.983919999999998</v>
      </c>
      <c r="E3" s="38">
        <v>47.769829999999999</v>
      </c>
      <c r="F3" s="38">
        <v>49.853200000000001</v>
      </c>
      <c r="G3" s="38">
        <v>49.917999999999999</v>
      </c>
      <c r="H3" s="38">
        <v>49.343420000000002</v>
      </c>
      <c r="I3" s="38">
        <v>49.82</v>
      </c>
      <c r="J3" s="38">
        <v>52.83</v>
      </c>
      <c r="K3" s="38">
        <v>55.41</v>
      </c>
      <c r="L3" s="38">
        <v>59.05</v>
      </c>
      <c r="M3" s="38">
        <v>62.53</v>
      </c>
      <c r="N3" s="38">
        <v>63.92</v>
      </c>
      <c r="O3" s="38">
        <v>65.040000000000006</v>
      </c>
      <c r="P3" s="61">
        <v>67.98</v>
      </c>
      <c r="Q3" s="67">
        <f>P3/O3-1</f>
        <v>4.5202952029520294E-2</v>
      </c>
      <c r="R3" s="67">
        <f>P3/L3-1</f>
        <v>0.15122777307366642</v>
      </c>
    </row>
    <row r="4" spans="1:18" s="43" customFormat="1" x14ac:dyDescent="0.25">
      <c r="A4" s="43" t="s">
        <v>33</v>
      </c>
      <c r="B4" s="43">
        <v>27.440999999999999</v>
      </c>
      <c r="C4" s="43">
        <v>33.619999999999997</v>
      </c>
      <c r="D4" s="43">
        <v>33.784880000000001</v>
      </c>
      <c r="E4" s="43">
        <v>33.155149999999999</v>
      </c>
      <c r="F4" s="43">
        <v>34.550370000000001</v>
      </c>
      <c r="G4" s="43">
        <v>34.625</v>
      </c>
      <c r="H4" s="43">
        <v>33.960520000000002</v>
      </c>
      <c r="I4" s="43">
        <v>34.380000000000003</v>
      </c>
      <c r="J4" s="43">
        <v>37.29</v>
      </c>
      <c r="K4" s="43">
        <v>41.24</v>
      </c>
      <c r="L4" s="43">
        <v>44.13</v>
      </c>
      <c r="M4" s="43">
        <v>46.42</v>
      </c>
      <c r="N4" s="43">
        <v>46.38</v>
      </c>
      <c r="O4" s="43">
        <v>46.46</v>
      </c>
      <c r="P4" s="41">
        <v>46.16</v>
      </c>
      <c r="Q4" s="68">
        <f t="shared" ref="Q4:Q14" si="0">P4/O4-1</f>
        <v>-6.4571674558761005E-3</v>
      </c>
      <c r="R4" s="68">
        <f t="shared" ref="R4:R14" si="1">P4/L4-1</f>
        <v>4.600045320643531E-2</v>
      </c>
    </row>
    <row r="5" spans="1:18" s="43" customFormat="1" x14ac:dyDescent="0.25">
      <c r="A5" s="43" t="s">
        <v>34</v>
      </c>
      <c r="B5" s="43">
        <v>3.6030000000000002</v>
      </c>
      <c r="C5" s="43">
        <v>5.8540000000000001</v>
      </c>
      <c r="D5" s="43">
        <v>6.0702499999999997</v>
      </c>
      <c r="E5" s="43">
        <v>6.4791499999999997</v>
      </c>
      <c r="F5" s="43">
        <v>7.1688599999999996</v>
      </c>
      <c r="G5" s="43">
        <v>7.8710000000000004</v>
      </c>
      <c r="H5" s="43">
        <v>7.95411</v>
      </c>
      <c r="I5" s="43">
        <v>8.02</v>
      </c>
      <c r="J5" s="43">
        <v>8.1300000000000008</v>
      </c>
      <c r="K5" s="43">
        <v>8.5500000000000007</v>
      </c>
      <c r="L5" s="43">
        <v>9.2799999999999994</v>
      </c>
      <c r="M5" s="43">
        <v>10.5</v>
      </c>
      <c r="N5" s="43">
        <v>11.8</v>
      </c>
      <c r="O5" s="43">
        <v>12.84</v>
      </c>
      <c r="P5" s="41">
        <v>13.82</v>
      </c>
      <c r="Q5" s="68">
        <f t="shared" si="0"/>
        <v>7.6323987538940763E-2</v>
      </c>
      <c r="R5" s="68">
        <f t="shared" si="1"/>
        <v>0.4892241379310347</v>
      </c>
    </row>
    <row r="6" spans="1:18" s="43" customFormat="1" x14ac:dyDescent="0.25">
      <c r="A6" s="43" t="s">
        <v>35</v>
      </c>
      <c r="B6" s="43">
        <v>8.7539999999999996</v>
      </c>
      <c r="C6" s="43">
        <v>7.5990000000000002</v>
      </c>
      <c r="D6" s="43">
        <v>7.5929399999999996</v>
      </c>
      <c r="E6" s="43">
        <v>7.5844500000000004</v>
      </c>
      <c r="F6" s="43">
        <v>7.5839699999999999</v>
      </c>
      <c r="G6" s="43">
        <v>6.875</v>
      </c>
      <c r="H6" s="43">
        <v>6.8742700000000001</v>
      </c>
      <c r="I6" s="43">
        <v>6.87</v>
      </c>
      <c r="J6" s="43">
        <v>6.87</v>
      </c>
      <c r="K6" s="43">
        <v>5.2</v>
      </c>
      <c r="L6" s="43">
        <v>5.21</v>
      </c>
      <c r="M6" s="43">
        <v>5.17</v>
      </c>
      <c r="N6" s="43">
        <v>5.3</v>
      </c>
      <c r="O6" s="43">
        <v>5.26</v>
      </c>
      <c r="P6" s="41">
        <v>3.75</v>
      </c>
      <c r="Q6" s="68">
        <f t="shared" si="0"/>
        <v>-0.28707224334600756</v>
      </c>
      <c r="R6" s="68">
        <f t="shared" si="1"/>
        <v>-0.28023032629558542</v>
      </c>
    </row>
    <row r="7" spans="1:18" s="43" customFormat="1" x14ac:dyDescent="0.25">
      <c r="A7" s="43" t="s">
        <v>36</v>
      </c>
      <c r="B7" s="43">
        <v>0.54600000000000004</v>
      </c>
      <c r="C7" s="43">
        <v>0.53500000000000003</v>
      </c>
      <c r="D7" s="43">
        <v>0.53474999999999995</v>
      </c>
      <c r="E7" s="43">
        <v>0.54993000000000003</v>
      </c>
      <c r="F7" s="43">
        <v>0.54888000000000003</v>
      </c>
      <c r="G7" s="43">
        <v>0.53500000000000003</v>
      </c>
      <c r="H7" s="43">
        <v>0.55311999999999995</v>
      </c>
      <c r="I7" s="43">
        <v>0.55000000000000004</v>
      </c>
      <c r="J7" s="43">
        <v>0.54</v>
      </c>
      <c r="K7" s="43">
        <v>0.41</v>
      </c>
      <c r="L7" s="43">
        <v>0.43</v>
      </c>
      <c r="M7" s="43">
        <v>0.44</v>
      </c>
      <c r="N7" s="43">
        <v>0.44</v>
      </c>
      <c r="O7" s="43">
        <f>0.83+0.45-0.8</f>
        <v>0.48</v>
      </c>
      <c r="P7" s="41">
        <v>0.03</v>
      </c>
      <c r="Q7" s="68">
        <f t="shared" si="0"/>
        <v>-0.9375</v>
      </c>
      <c r="R7" s="68">
        <f t="shared" si="1"/>
        <v>-0.93023255813953487</v>
      </c>
    </row>
    <row r="8" spans="1:18" s="38" customFormat="1" ht="15.6" x14ac:dyDescent="0.3">
      <c r="A8" s="38" t="s">
        <v>37</v>
      </c>
      <c r="B8" s="38">
        <v>52.914000000000001</v>
      </c>
      <c r="C8" s="38">
        <v>50.177999999999997</v>
      </c>
      <c r="D8" s="38">
        <v>44.846519999999998</v>
      </c>
      <c r="E8" s="38">
        <v>47.966360000000002</v>
      </c>
      <c r="F8" s="38">
        <v>51.898180000000004</v>
      </c>
      <c r="G8" s="38">
        <v>57.509</v>
      </c>
      <c r="H8" s="38">
        <v>56.525179999999999</v>
      </c>
      <c r="I8" s="38">
        <v>58.55</v>
      </c>
      <c r="J8" s="38">
        <v>64.260000000000005</v>
      </c>
      <c r="K8" s="38">
        <v>66.55</v>
      </c>
      <c r="L8" s="38">
        <v>62.15</v>
      </c>
      <c r="M8" s="38">
        <v>70.64</v>
      </c>
      <c r="N8" s="38">
        <v>77.540000000000006</v>
      </c>
      <c r="O8" s="38">
        <v>78.13</v>
      </c>
      <c r="P8" s="61">
        <v>72.94</v>
      </c>
      <c r="Q8" s="67">
        <f t="shared" si="0"/>
        <v>-6.6427748624088068E-2</v>
      </c>
      <c r="R8" s="67">
        <f t="shared" si="1"/>
        <v>0.17361222847948521</v>
      </c>
    </row>
    <row r="9" spans="1:18" s="43" customFormat="1" x14ac:dyDescent="0.25">
      <c r="A9" s="43" t="s">
        <v>38</v>
      </c>
      <c r="B9" s="43">
        <v>28.364999999999998</v>
      </c>
      <c r="C9" s="43">
        <v>24.532</v>
      </c>
      <c r="D9" s="43">
        <v>25.388110000000001</v>
      </c>
      <c r="E9" s="43">
        <v>25.32066</v>
      </c>
      <c r="F9" s="43">
        <v>27.43064</v>
      </c>
      <c r="G9" s="43">
        <v>29.832999999999998</v>
      </c>
      <c r="H9" s="43">
        <v>33.137569999999997</v>
      </c>
      <c r="I9" s="43">
        <v>31.48</v>
      </c>
      <c r="J9" s="43">
        <v>32.57</v>
      </c>
      <c r="K9" s="43">
        <v>32.590000000000003</v>
      </c>
      <c r="L9" s="43">
        <v>31.29</v>
      </c>
      <c r="M9" s="43">
        <v>32.61</v>
      </c>
      <c r="N9" s="43">
        <v>39.94</v>
      </c>
      <c r="O9" s="43">
        <v>37.67</v>
      </c>
      <c r="P9" s="41">
        <v>36.67</v>
      </c>
      <c r="Q9" s="68">
        <f t="shared" si="0"/>
        <v>-2.6546323334218247E-2</v>
      </c>
      <c r="R9" s="68">
        <f t="shared" si="1"/>
        <v>0.17193991690636001</v>
      </c>
    </row>
    <row r="10" spans="1:18" s="43" customFormat="1" x14ac:dyDescent="0.25">
      <c r="A10" s="43" t="s">
        <v>39</v>
      </c>
      <c r="B10" s="43">
        <v>19.891999999999999</v>
      </c>
      <c r="C10" s="43">
        <v>21.838999999999999</v>
      </c>
      <c r="D10" s="43">
        <v>14.83122</v>
      </c>
      <c r="E10" s="43">
        <v>18.250440000000001</v>
      </c>
      <c r="F10" s="43">
        <v>20.480029999999999</v>
      </c>
      <c r="G10" s="43">
        <v>23.771999999999998</v>
      </c>
      <c r="H10" s="43">
        <v>19.869959999999999</v>
      </c>
      <c r="I10" s="43">
        <v>21.31</v>
      </c>
      <c r="J10" s="43">
        <v>25.6</v>
      </c>
      <c r="K10" s="43">
        <v>28.49</v>
      </c>
      <c r="L10" s="43">
        <v>26.32</v>
      </c>
      <c r="M10" s="43">
        <v>32.799999999999997</v>
      </c>
      <c r="N10" s="43">
        <v>32.19</v>
      </c>
      <c r="O10" s="43">
        <v>32.700000000000003</v>
      </c>
      <c r="P10" s="41">
        <v>25.44</v>
      </c>
      <c r="Q10" s="68">
        <f t="shared" si="0"/>
        <v>-0.22201834862385328</v>
      </c>
      <c r="R10" s="68">
        <f t="shared" si="1"/>
        <v>-3.3434650455926973E-2</v>
      </c>
    </row>
    <row r="11" spans="1:18" s="43" customFormat="1" x14ac:dyDescent="0.25">
      <c r="A11" s="43" t="s">
        <v>40</v>
      </c>
      <c r="B11" s="43">
        <v>2.0840000000000001</v>
      </c>
      <c r="C11" s="43">
        <v>1.5980000000000001</v>
      </c>
      <c r="D11" s="43">
        <v>1.6560900000000001</v>
      </c>
      <c r="E11" s="43">
        <v>1.4</v>
      </c>
      <c r="F11" s="43">
        <v>1.6956500000000001</v>
      </c>
      <c r="G11" s="43">
        <v>1.7010000000000001</v>
      </c>
      <c r="H11" s="43">
        <v>1.26711</v>
      </c>
      <c r="I11" s="43">
        <v>1.49</v>
      </c>
      <c r="J11" s="43">
        <v>0.93</v>
      </c>
      <c r="K11" s="43">
        <v>1.3800000000000026</v>
      </c>
      <c r="L11" s="43">
        <v>1.04</v>
      </c>
      <c r="M11" s="43">
        <v>1.81</v>
      </c>
      <c r="N11" s="43">
        <v>1.73</v>
      </c>
      <c r="O11" s="43">
        <v>1.3</v>
      </c>
      <c r="P11" s="41">
        <v>2.29</v>
      </c>
      <c r="Q11" s="68">
        <f t="shared" si="0"/>
        <v>0.7615384615384615</v>
      </c>
      <c r="R11" s="68">
        <f t="shared" si="1"/>
        <v>1.2019230769230771</v>
      </c>
    </row>
    <row r="12" spans="1:18" s="43" customFormat="1" x14ac:dyDescent="0.25">
      <c r="A12" s="43" t="s">
        <v>41</v>
      </c>
      <c r="B12" s="43">
        <v>0.89100000000000001</v>
      </c>
      <c r="C12" s="43">
        <v>1.3260000000000001</v>
      </c>
      <c r="D12" s="43">
        <v>1.75108</v>
      </c>
      <c r="E12" s="43">
        <v>1.7148000000000001</v>
      </c>
      <c r="F12" s="43">
        <v>1.48187</v>
      </c>
      <c r="G12" s="43">
        <v>1.2170000000000001</v>
      </c>
      <c r="H12" s="43">
        <v>1.35164</v>
      </c>
      <c r="I12" s="43">
        <v>1.88</v>
      </c>
      <c r="J12" s="43">
        <v>1.95</v>
      </c>
      <c r="K12" s="43">
        <v>1.47</v>
      </c>
      <c r="L12" s="43">
        <v>2.02</v>
      </c>
      <c r="M12" s="43">
        <v>2.72</v>
      </c>
      <c r="N12" s="43">
        <v>2.14</v>
      </c>
      <c r="O12" s="43">
        <v>1.21</v>
      </c>
      <c r="P12" s="41">
        <v>1.45</v>
      </c>
      <c r="Q12" s="68">
        <f t="shared" si="0"/>
        <v>0.19834710743801653</v>
      </c>
      <c r="R12" s="68">
        <f t="shared" si="1"/>
        <v>-0.28217821782178221</v>
      </c>
    </row>
    <row r="13" spans="1:18" s="43" customFormat="1" x14ac:dyDescent="0.25">
      <c r="A13" s="43" t="s">
        <v>42</v>
      </c>
      <c r="B13" s="43">
        <v>1.6819999999999999</v>
      </c>
      <c r="C13" s="43">
        <v>0.86499999999999999</v>
      </c>
      <c r="D13" s="43">
        <v>1.20242</v>
      </c>
      <c r="E13" s="43">
        <v>1.26284</v>
      </c>
      <c r="F13" s="43">
        <v>0.79237000000000002</v>
      </c>
      <c r="G13" s="43">
        <v>0.98699999999999999</v>
      </c>
      <c r="H13" s="43">
        <v>0.89890000000000003</v>
      </c>
      <c r="I13" s="43">
        <v>2.38</v>
      </c>
      <c r="J13" s="43">
        <v>3.21</v>
      </c>
      <c r="K13" s="43">
        <v>2.62</v>
      </c>
      <c r="L13" s="43">
        <v>1.48</v>
      </c>
      <c r="M13" s="43">
        <v>0.7</v>
      </c>
      <c r="N13" s="43">
        <v>1.54</v>
      </c>
      <c r="O13" s="43">
        <v>5.25</v>
      </c>
      <c r="P13" s="41">
        <v>7.09</v>
      </c>
      <c r="Q13" s="68">
        <f t="shared" si="0"/>
        <v>0.35047619047619039</v>
      </c>
      <c r="R13" s="68">
        <f t="shared" si="1"/>
        <v>3.7905405405405403</v>
      </c>
    </row>
    <row r="14" spans="1:18" s="38" customFormat="1" ht="15.6" x14ac:dyDescent="0.3">
      <c r="A14" s="38" t="s">
        <v>43</v>
      </c>
      <c r="B14" s="38">
        <v>93.259</v>
      </c>
      <c r="C14" s="38">
        <v>97.787999999999997</v>
      </c>
      <c r="D14" s="38">
        <v>92.830439999999996</v>
      </c>
      <c r="E14" s="38">
        <v>95.736189999999993</v>
      </c>
      <c r="F14" s="38">
        <v>101.75138</v>
      </c>
      <c r="G14" s="38">
        <v>107.42700000000001</v>
      </c>
      <c r="H14" s="38">
        <v>105.8686</v>
      </c>
      <c r="I14" s="38">
        <f>I3+I8</f>
        <v>108.37</v>
      </c>
      <c r="J14" s="38">
        <f>J3+J8</f>
        <v>117.09</v>
      </c>
      <c r="K14" s="38">
        <v>121.96</v>
      </c>
      <c r="L14" s="38">
        <v>121.2</v>
      </c>
      <c r="M14" s="38">
        <v>133.16999999999999</v>
      </c>
      <c r="N14" s="38">
        <v>141.46</v>
      </c>
      <c r="O14" s="38">
        <f>143.97-0.8</f>
        <v>143.16999999999999</v>
      </c>
      <c r="P14" s="61">
        <v>140.91999999999999</v>
      </c>
      <c r="Q14" s="67">
        <f t="shared" si="0"/>
        <v>-1.571558287350705E-2</v>
      </c>
      <c r="R14" s="67">
        <f t="shared" si="1"/>
        <v>0.16270627062706255</v>
      </c>
    </row>
    <row r="15" spans="1:18" s="11" customFormat="1" ht="15.6" x14ac:dyDescent="0.3">
      <c r="A15" s="11" t="s">
        <v>87</v>
      </c>
      <c r="Q15" s="12"/>
      <c r="R15" s="12"/>
    </row>
    <row r="16" spans="1:18" s="37" customFormat="1" ht="15.6" x14ac:dyDescent="0.3">
      <c r="A16" s="37" t="s">
        <v>44</v>
      </c>
      <c r="B16" s="38">
        <v>39.746000000000002</v>
      </c>
      <c r="C16" s="38">
        <v>42.561999999999998</v>
      </c>
      <c r="D16" s="38">
        <v>41.82405</v>
      </c>
      <c r="E16" s="38">
        <v>43.084409999999998</v>
      </c>
      <c r="F16" s="38">
        <v>43.921950000000002</v>
      </c>
      <c r="G16" s="38">
        <v>45.561999999999998</v>
      </c>
      <c r="H16" s="37">
        <v>46.305790000000002</v>
      </c>
      <c r="I16" s="37">
        <v>46.77</v>
      </c>
      <c r="J16" s="37">
        <v>48.63</v>
      </c>
      <c r="K16" s="37">
        <v>51.43</v>
      </c>
      <c r="L16" s="37">
        <v>52.43</v>
      </c>
      <c r="M16" s="38">
        <f>54.21-1.6</f>
        <v>52.61</v>
      </c>
      <c r="N16" s="38">
        <v>54.95</v>
      </c>
      <c r="O16" s="38">
        <v>54.18</v>
      </c>
      <c r="P16" s="61">
        <v>54.75</v>
      </c>
      <c r="Q16" s="69">
        <f t="shared" ref="Q16:Q29" si="2">P16/O16-1</f>
        <v>1.0520487264673362E-2</v>
      </c>
      <c r="R16" s="69">
        <f t="shared" ref="R16:R29" si="3">P16/L16-1</f>
        <v>4.4249475491131118E-2</v>
      </c>
    </row>
    <row r="17" spans="1:19" s="43" customFormat="1" x14ac:dyDescent="0.25">
      <c r="A17" s="43" t="s">
        <v>99</v>
      </c>
      <c r="B17" s="43">
        <v>-0.66600000000000004</v>
      </c>
      <c r="C17" s="43">
        <v>-1.552</v>
      </c>
      <c r="D17" s="43">
        <v>-1.5623400000000001</v>
      </c>
      <c r="E17" s="43">
        <v>-1.552</v>
      </c>
      <c r="F17" s="43">
        <v>-1.552</v>
      </c>
      <c r="G17" s="43">
        <v>-1.4690000000000001</v>
      </c>
      <c r="H17" s="43">
        <v>-1.4831799999999999</v>
      </c>
      <c r="I17" s="43">
        <v>-1.06</v>
      </c>
      <c r="J17" s="43">
        <v>-1.69</v>
      </c>
      <c r="K17" s="43">
        <v>-1.54</v>
      </c>
      <c r="L17" s="43">
        <v>-1.67</v>
      </c>
      <c r="M17" s="43">
        <v>-1.6</v>
      </c>
      <c r="N17" s="43">
        <v>-1.65</v>
      </c>
      <c r="O17" s="43">
        <v>-1.55</v>
      </c>
      <c r="P17" s="41">
        <v>-2.0499999999999998</v>
      </c>
      <c r="Q17" s="68">
        <f t="shared" si="2"/>
        <v>0.32258064516129026</v>
      </c>
      <c r="R17" s="68">
        <f t="shared" si="3"/>
        <v>0.22754491017964074</v>
      </c>
    </row>
    <row r="18" spans="1:19" s="38" customFormat="1" ht="15.6" x14ac:dyDescent="0.3">
      <c r="A18" s="38" t="s">
        <v>45</v>
      </c>
      <c r="B18" s="38">
        <v>11.294</v>
      </c>
      <c r="C18" s="38">
        <v>14.211</v>
      </c>
      <c r="D18" s="38">
        <v>14.03058</v>
      </c>
      <c r="E18" s="38">
        <v>13.18304</v>
      </c>
      <c r="F18" s="38">
        <v>14.02187</v>
      </c>
      <c r="G18" s="38">
        <v>13.750999999999999</v>
      </c>
      <c r="H18" s="38">
        <v>13.27835</v>
      </c>
      <c r="I18" s="38">
        <v>13.35</v>
      </c>
      <c r="J18" s="38">
        <v>15.47</v>
      </c>
      <c r="K18" s="38">
        <v>14.36</v>
      </c>
      <c r="L18" s="38">
        <v>14.66</v>
      </c>
      <c r="M18" s="38">
        <v>16.48</v>
      </c>
      <c r="N18" s="38">
        <v>16.57</v>
      </c>
      <c r="O18" s="38">
        <v>16.989999999999998</v>
      </c>
      <c r="P18" s="61">
        <v>18.25</v>
      </c>
      <c r="Q18" s="67">
        <f t="shared" si="2"/>
        <v>7.4161271336080192E-2</v>
      </c>
      <c r="R18" s="67">
        <f t="shared" si="3"/>
        <v>0.24488403819918148</v>
      </c>
    </row>
    <row r="19" spans="1:19" s="43" customFormat="1" x14ac:dyDescent="0.25">
      <c r="A19" s="43" t="s">
        <v>89</v>
      </c>
      <c r="B19" s="43">
        <v>0.92400000000000004</v>
      </c>
      <c r="C19" s="43">
        <v>4.952</v>
      </c>
      <c r="D19" s="43">
        <v>4.8291199999999996</v>
      </c>
      <c r="E19" s="43">
        <v>4.4506300000000003</v>
      </c>
      <c r="F19" s="43">
        <v>4.2205599999999999</v>
      </c>
      <c r="G19" s="43">
        <v>4.149</v>
      </c>
      <c r="H19" s="43">
        <v>3.9385300000000001</v>
      </c>
      <c r="I19" s="43">
        <v>4.18</v>
      </c>
      <c r="J19" s="43">
        <v>4.78</v>
      </c>
      <c r="K19" s="43">
        <v>4.75</v>
      </c>
      <c r="L19" s="43">
        <v>4.47</v>
      </c>
      <c r="M19" s="43">
        <v>4.18</v>
      </c>
      <c r="N19" s="43">
        <v>3.99</v>
      </c>
      <c r="O19" s="43">
        <v>3.78</v>
      </c>
      <c r="P19" s="41">
        <v>3.59</v>
      </c>
      <c r="Q19" s="68">
        <f t="shared" si="2"/>
        <v>-5.0264550264550234E-2</v>
      </c>
      <c r="R19" s="68">
        <f t="shared" si="3"/>
        <v>-0.19686800894854584</v>
      </c>
    </row>
    <row r="20" spans="1:19" s="43" customFormat="1" x14ac:dyDescent="0.25">
      <c r="A20" s="43" t="s">
        <v>90</v>
      </c>
      <c r="B20" s="43">
        <v>1.2070000000000001</v>
      </c>
      <c r="C20" s="43">
        <v>1.367</v>
      </c>
      <c r="D20" s="43">
        <v>1.4194</v>
      </c>
      <c r="E20" s="43">
        <v>0.98841999999999997</v>
      </c>
      <c r="F20" s="43">
        <v>1.9958800000000001</v>
      </c>
      <c r="G20" s="43">
        <v>2.4950000000000001</v>
      </c>
      <c r="H20" s="43">
        <v>2.22953</v>
      </c>
      <c r="I20" s="43">
        <v>1.81</v>
      </c>
      <c r="J20" s="43">
        <v>2.36</v>
      </c>
      <c r="K20" s="43">
        <v>3.06</v>
      </c>
      <c r="L20" s="43">
        <f>3.56+0.3+0.79+0.12-0.01</f>
        <v>4.7600000000000007</v>
      </c>
      <c r="M20" s="43">
        <v>5.61</v>
      </c>
      <c r="N20" s="43">
        <v>6.55</v>
      </c>
      <c r="O20" s="43">
        <v>5.95</v>
      </c>
      <c r="P20" s="41">
        <v>9.42</v>
      </c>
      <c r="Q20" s="68">
        <f t="shared" si="2"/>
        <v>0.5831932773109243</v>
      </c>
      <c r="R20" s="68">
        <f t="shared" si="3"/>
        <v>0.97899159663865509</v>
      </c>
    </row>
    <row r="21" spans="1:19" s="43" customFormat="1" x14ac:dyDescent="0.25">
      <c r="A21" s="43" t="s">
        <v>91</v>
      </c>
      <c r="B21" s="43">
        <v>8.9380000000000006</v>
      </c>
      <c r="C21" s="43">
        <v>7.6440000000000001</v>
      </c>
      <c r="D21" s="43">
        <v>7.5858400000000001</v>
      </c>
      <c r="E21" s="43">
        <v>7.5584699999999998</v>
      </c>
      <c r="F21" s="43">
        <v>7.7574069999999997</v>
      </c>
      <c r="G21" s="43">
        <v>6.7110000000000003</v>
      </c>
      <c r="H21" s="43">
        <v>6.7125700000000004</v>
      </c>
      <c r="I21" s="43">
        <v>6.97</v>
      </c>
      <c r="J21" s="43">
        <v>6.67</v>
      </c>
      <c r="K21" s="43">
        <v>5.43</v>
      </c>
      <c r="L21" s="43">
        <v>5.43</v>
      </c>
      <c r="M21" s="43">
        <f>5.4+1.17+0.12</f>
        <v>6.69</v>
      </c>
      <c r="N21" s="43">
        <v>6.03</v>
      </c>
      <c r="O21" s="43">
        <v>5.78</v>
      </c>
      <c r="P21" s="41">
        <v>5.24</v>
      </c>
      <c r="Q21" s="68">
        <f t="shared" si="2"/>
        <v>-9.3425605536332168E-2</v>
      </c>
      <c r="R21" s="68">
        <f t="shared" si="3"/>
        <v>-3.4990791896869156E-2</v>
      </c>
    </row>
    <row r="22" spans="1:19" s="38" customFormat="1" ht="15.6" x14ac:dyDescent="0.3">
      <c r="A22" s="38" t="s">
        <v>46</v>
      </c>
      <c r="B22" s="38">
        <v>42.219000000000001</v>
      </c>
      <c r="C22" s="38">
        <v>41.014000000000003</v>
      </c>
      <c r="D22" s="38">
        <v>36.975810000000003</v>
      </c>
      <c r="E22" s="38">
        <v>39.468739999999997</v>
      </c>
      <c r="F22" s="38">
        <v>43.807560000000002</v>
      </c>
      <c r="G22" s="38">
        <v>48.09</v>
      </c>
      <c r="H22" s="38">
        <v>46.284460000000003</v>
      </c>
      <c r="I22" s="38">
        <v>48.25</v>
      </c>
      <c r="J22" s="38">
        <v>52.99</v>
      </c>
      <c r="K22" s="38">
        <v>56.17</v>
      </c>
      <c r="L22" s="38">
        <v>54.11</v>
      </c>
      <c r="M22" s="38">
        <v>64.08</v>
      </c>
      <c r="N22" s="38">
        <v>69.94</v>
      </c>
      <c r="O22" s="38">
        <f>72.8-0.8</f>
        <v>72</v>
      </c>
      <c r="P22" s="61">
        <v>67.92</v>
      </c>
      <c r="Q22" s="67">
        <f t="shared" si="2"/>
        <v>-5.6666666666666643E-2</v>
      </c>
      <c r="R22" s="67">
        <f t="shared" si="3"/>
        <v>0.25522084642395115</v>
      </c>
    </row>
    <row r="23" spans="1:19" s="43" customFormat="1" ht="15.6" x14ac:dyDescent="0.3">
      <c r="A23" s="43" t="s">
        <v>92</v>
      </c>
      <c r="B23" s="43">
        <v>11.003</v>
      </c>
      <c r="C23" s="43">
        <v>13.885</v>
      </c>
      <c r="D23" s="43">
        <v>14.427960000000001</v>
      </c>
      <c r="E23" s="43">
        <v>15.008649999999999</v>
      </c>
      <c r="F23" s="43">
        <v>14.36107</v>
      </c>
      <c r="G23" s="43">
        <v>16.079999999999998</v>
      </c>
      <c r="H23" s="43">
        <v>13.48868</v>
      </c>
      <c r="I23" s="43">
        <v>14.02</v>
      </c>
      <c r="J23" s="43">
        <v>18.34</v>
      </c>
      <c r="K23" s="43">
        <v>17.579999999999998</v>
      </c>
      <c r="L23" s="43">
        <v>19.309999999999999</v>
      </c>
      <c r="M23" s="43">
        <v>22.97</v>
      </c>
      <c r="N23" s="43">
        <v>22.94</v>
      </c>
      <c r="O23" s="43">
        <f>24.52-0.8</f>
        <v>23.72</v>
      </c>
      <c r="P23" s="41">
        <v>27.47</v>
      </c>
      <c r="Q23" s="68">
        <f t="shared" si="2"/>
        <v>0.15809443507588528</v>
      </c>
      <c r="R23" s="68">
        <f t="shared" si="3"/>
        <v>0.42257897462454697</v>
      </c>
      <c r="S23" s="38"/>
    </row>
    <row r="24" spans="1:19" s="43" customFormat="1" x14ac:dyDescent="0.25">
      <c r="A24" s="43" t="s">
        <v>93</v>
      </c>
      <c r="B24" s="43">
        <v>4.7679999999999998</v>
      </c>
      <c r="C24" s="43">
        <v>4.1550000000000002</v>
      </c>
      <c r="D24" s="43">
        <v>4.4484300000000001</v>
      </c>
      <c r="E24" s="43">
        <v>4.59239</v>
      </c>
      <c r="F24" s="43">
        <v>5.8044000000000002</v>
      </c>
      <c r="G24" s="43">
        <v>4.3739999999999997</v>
      </c>
      <c r="H24" s="43">
        <v>6.7157099999999996</v>
      </c>
      <c r="I24" s="43">
        <v>7.23</v>
      </c>
      <c r="J24" s="43">
        <v>5.52</v>
      </c>
      <c r="K24" s="43">
        <v>6.82</v>
      </c>
      <c r="L24" s="43">
        <v>8.7799999999999994</v>
      </c>
      <c r="M24" s="43">
        <v>8.02</v>
      </c>
      <c r="N24" s="43">
        <v>10.26</v>
      </c>
      <c r="O24" s="43">
        <v>9.66</v>
      </c>
      <c r="P24" s="41">
        <v>8.9499999999999993</v>
      </c>
      <c r="Q24" s="68">
        <f t="shared" si="2"/>
        <v>-7.349896480331275E-2</v>
      </c>
      <c r="R24" s="68">
        <f t="shared" si="3"/>
        <v>1.9362186788154823E-2</v>
      </c>
    </row>
    <row r="25" spans="1:19" s="43" customFormat="1" x14ac:dyDescent="0.25">
      <c r="A25" s="43" t="s">
        <v>94</v>
      </c>
      <c r="B25" s="43">
        <v>21.260999999999999</v>
      </c>
      <c r="C25" s="43">
        <v>17.181000000000001</v>
      </c>
      <c r="D25" s="43">
        <v>12.296720000000001</v>
      </c>
      <c r="E25" s="43">
        <v>14.35238</v>
      </c>
      <c r="F25" s="43">
        <v>15.56607</v>
      </c>
      <c r="G25" s="43">
        <v>21.100999999999999</v>
      </c>
      <c r="H25" s="43">
        <v>19.199719999999999</v>
      </c>
      <c r="I25" s="43">
        <v>16.91</v>
      </c>
      <c r="J25" s="43">
        <v>18.29</v>
      </c>
      <c r="K25" s="43">
        <v>21.29</v>
      </c>
      <c r="L25" s="43">
        <v>14.26</v>
      </c>
      <c r="M25" s="43">
        <f>19.09</f>
        <v>19.09</v>
      </c>
      <c r="N25" s="43">
        <v>22.7</v>
      </c>
      <c r="O25" s="43">
        <v>26.7</v>
      </c>
      <c r="P25" s="41">
        <v>19.13</v>
      </c>
      <c r="Q25" s="68">
        <f t="shared" si="2"/>
        <v>-0.28352059925093631</v>
      </c>
      <c r="R25" s="68">
        <f t="shared" si="3"/>
        <v>0.34151472650771386</v>
      </c>
    </row>
    <row r="26" spans="1:19" s="43" customFormat="1" x14ac:dyDescent="0.25">
      <c r="A26" s="43" t="s">
        <v>95</v>
      </c>
      <c r="B26" s="43">
        <v>3.3809999999999998</v>
      </c>
      <c r="C26" s="43">
        <v>4.2569999999999997</v>
      </c>
      <c r="D26" s="43">
        <v>4.0276500000000004</v>
      </c>
      <c r="E26" s="43">
        <v>3.6376900000000001</v>
      </c>
      <c r="F26" s="43">
        <v>4.6780499999999998</v>
      </c>
      <c r="G26" s="43">
        <v>4.7350000000000003</v>
      </c>
      <c r="H26" s="43">
        <v>4.51206</v>
      </c>
      <c r="I26" s="43">
        <v>5.75</v>
      </c>
      <c r="J26" s="43">
        <v>5.15</v>
      </c>
      <c r="K26" s="43">
        <v>6.06</v>
      </c>
      <c r="L26" s="43">
        <v>6.24</v>
      </c>
      <c r="M26" s="43">
        <v>7.92</v>
      </c>
      <c r="N26" s="43">
        <v>6.74</v>
      </c>
      <c r="O26" s="43">
        <v>7.39</v>
      </c>
      <c r="P26" s="41">
        <v>7.37</v>
      </c>
      <c r="Q26" s="68">
        <f t="shared" si="2"/>
        <v>-2.7063599458727605E-3</v>
      </c>
      <c r="R26" s="68">
        <f t="shared" si="3"/>
        <v>0.18108974358974361</v>
      </c>
    </row>
    <row r="27" spans="1:19" s="43" customFormat="1" x14ac:dyDescent="0.25">
      <c r="A27" s="43" t="s">
        <v>110</v>
      </c>
      <c r="B27" s="43">
        <v>0.82699999999999996</v>
      </c>
      <c r="C27" s="43">
        <v>0.92700000000000005</v>
      </c>
      <c r="D27" s="43">
        <v>1.2202</v>
      </c>
      <c r="E27" s="43">
        <v>1.7579800000000001</v>
      </c>
      <c r="F27" s="43">
        <v>2.8669899999999999</v>
      </c>
      <c r="G27" s="43">
        <v>1.1830000000000001</v>
      </c>
      <c r="H27" s="43">
        <v>1.76814</v>
      </c>
      <c r="I27" s="43">
        <v>3.82</v>
      </c>
      <c r="J27" s="43">
        <v>4.7300000000000004</v>
      </c>
      <c r="K27" s="43">
        <v>4.22</v>
      </c>
      <c r="L27" s="43">
        <f>0.46+5.06</f>
        <v>5.52</v>
      </c>
      <c r="M27" s="43">
        <v>6.08</v>
      </c>
      <c r="N27" s="43">
        <v>7.3</v>
      </c>
      <c r="O27" s="43">
        <v>4.53</v>
      </c>
      <c r="P27" s="41">
        <v>5</v>
      </c>
      <c r="Q27" s="68">
        <f t="shared" si="2"/>
        <v>0.10375275938189832</v>
      </c>
      <c r="R27" s="68">
        <f t="shared" si="3"/>
        <v>-9.4202898550724612E-2</v>
      </c>
    </row>
    <row r="28" spans="1:19" s="38" customFormat="1" ht="15.6" x14ac:dyDescent="0.3">
      <c r="A28" s="38" t="s">
        <v>47</v>
      </c>
      <c r="B28" s="38">
        <v>93.259</v>
      </c>
      <c r="C28" s="38">
        <v>97.787999999999997</v>
      </c>
      <c r="D28" s="38">
        <v>92.830439999999996</v>
      </c>
      <c r="E28" s="38">
        <v>95.736189999999993</v>
      </c>
      <c r="F28" s="38">
        <v>101.75138</v>
      </c>
      <c r="G28" s="38">
        <v>107.42700000000001</v>
      </c>
      <c r="H28" s="38">
        <v>105.8686</v>
      </c>
      <c r="I28" s="38">
        <f>I16+I18+I22</f>
        <v>108.37</v>
      </c>
      <c r="J28" s="38">
        <f>J16+J18+J22</f>
        <v>117.09</v>
      </c>
      <c r="K28" s="38">
        <v>121.96</v>
      </c>
      <c r="L28" s="38">
        <v>121.2</v>
      </c>
      <c r="M28" s="38">
        <v>133.16999999999999</v>
      </c>
      <c r="N28" s="38">
        <v>141.46</v>
      </c>
      <c r="O28" s="38">
        <f>143.97-0.8</f>
        <v>143.16999999999999</v>
      </c>
      <c r="P28" s="61">
        <v>140.91999999999999</v>
      </c>
      <c r="Q28" s="67">
        <f t="shared" si="2"/>
        <v>-1.571558287350705E-2</v>
      </c>
      <c r="R28" s="67">
        <f t="shared" si="3"/>
        <v>0.16270627062706255</v>
      </c>
    </row>
    <row r="29" spans="1:19" s="43" customFormat="1" x14ac:dyDescent="0.25">
      <c r="A29" s="43" t="s">
        <v>48</v>
      </c>
      <c r="B29" s="43">
        <v>5.52</v>
      </c>
      <c r="C29" s="43">
        <v>5.91</v>
      </c>
      <c r="D29" s="43">
        <v>12.9</v>
      </c>
      <c r="E29" s="43">
        <v>13.3</v>
      </c>
      <c r="F29" s="43">
        <v>14.13</v>
      </c>
      <c r="G29" s="43">
        <v>14.92</v>
      </c>
      <c r="H29" s="43">
        <v>14.71</v>
      </c>
      <c r="I29" s="43">
        <v>15.05</v>
      </c>
      <c r="J29" s="43">
        <v>16.260000000000002</v>
      </c>
      <c r="K29" s="43">
        <v>17.04</v>
      </c>
      <c r="L29" s="43">
        <v>16.84</v>
      </c>
      <c r="M29" s="43">
        <v>18.5</v>
      </c>
      <c r="N29" s="43">
        <v>19.649999999999999</v>
      </c>
      <c r="O29" s="43">
        <v>19.89</v>
      </c>
      <c r="P29" s="41">
        <v>19.579999999999998</v>
      </c>
      <c r="Q29" s="68">
        <f t="shared" si="2"/>
        <v>-1.5585721468074576E-2</v>
      </c>
      <c r="R29" s="68">
        <f t="shared" si="3"/>
        <v>0.16270783847980996</v>
      </c>
    </row>
    <row r="30" spans="1:19" s="35" customFormat="1" x14ac:dyDescent="0.25">
      <c r="L30" s="45"/>
      <c r="P30" s="13"/>
      <c r="Q30" s="64"/>
      <c r="R30" s="64"/>
    </row>
    <row r="31" spans="1:19" s="35" customFormat="1" x14ac:dyDescent="0.25">
      <c r="A31" s="66"/>
      <c r="P31" s="13"/>
      <c r="Q31" s="46"/>
      <c r="R31" s="64"/>
    </row>
    <row r="32" spans="1:19" x14ac:dyDescent="0.25">
      <c r="P32" s="13"/>
      <c r="Q32" s="59"/>
    </row>
    <row r="33" spans="16:16" x14ac:dyDescent="0.25">
      <c r="P33" s="13"/>
    </row>
    <row r="34" spans="16:16" x14ac:dyDescent="0.25">
      <c r="P34" s="13"/>
    </row>
    <row r="35" spans="16:16" x14ac:dyDescent="0.25">
      <c r="P35" s="13"/>
    </row>
    <row r="36" spans="16:16" x14ac:dyDescent="0.25">
      <c r="P36" s="13"/>
    </row>
    <row r="37" spans="16:16" x14ac:dyDescent="0.25">
      <c r="P37" s="13"/>
    </row>
    <row r="38" spans="16:16" x14ac:dyDescent="0.25">
      <c r="P38" s="13"/>
    </row>
    <row r="39" spans="16:16" x14ac:dyDescent="0.25">
      <c r="P39" s="13"/>
    </row>
    <row r="40" spans="16:16" x14ac:dyDescent="0.25">
      <c r="P40" s="13"/>
    </row>
    <row r="41" spans="16:16" x14ac:dyDescent="0.25">
      <c r="P41" s="13"/>
    </row>
    <row r="42" spans="16:16" x14ac:dyDescent="0.25">
      <c r="P42" s="13"/>
    </row>
    <row r="43" spans="16:16" x14ac:dyDescent="0.25">
      <c r="P43" s="13"/>
    </row>
    <row r="44" spans="16:16" x14ac:dyDescent="0.25">
      <c r="P44" s="13"/>
    </row>
    <row r="45" spans="16:16" x14ac:dyDescent="0.25">
      <c r="P45" s="13"/>
    </row>
    <row r="46" spans="16:16" x14ac:dyDescent="0.25">
      <c r="P46" s="13"/>
    </row>
    <row r="47" spans="16:16" x14ac:dyDescent="0.25">
      <c r="P47" s="13"/>
    </row>
    <row r="48" spans="16:16" x14ac:dyDescent="0.25">
      <c r="P48" s="13"/>
    </row>
    <row r="49" spans="16:16" x14ac:dyDescent="0.25">
      <c r="P49" s="13"/>
    </row>
    <row r="50" spans="16:16" x14ac:dyDescent="0.25">
      <c r="P50" s="13"/>
    </row>
    <row r="51" spans="16:16" x14ac:dyDescent="0.25">
      <c r="P51" s="13"/>
    </row>
    <row r="52" spans="16:16" x14ac:dyDescent="0.25">
      <c r="P52" s="13"/>
    </row>
    <row r="53" spans="16:16" x14ac:dyDescent="0.25">
      <c r="P53" s="13"/>
    </row>
    <row r="54" spans="16:16" x14ac:dyDescent="0.25">
      <c r="P54" s="13"/>
    </row>
    <row r="55" spans="16:16" x14ac:dyDescent="0.25">
      <c r="P55" s="13"/>
    </row>
    <row r="56" spans="16:16" x14ac:dyDescent="0.25">
      <c r="P56" s="13"/>
    </row>
    <row r="57" spans="16:16" x14ac:dyDescent="0.25">
      <c r="P57" s="13"/>
    </row>
    <row r="58" spans="16:16" x14ac:dyDescent="0.25">
      <c r="P58" s="13"/>
    </row>
    <row r="59" spans="16:16" x14ac:dyDescent="0.25">
      <c r="P59" s="13"/>
    </row>
    <row r="60" spans="16:16" x14ac:dyDescent="0.25">
      <c r="P60" s="13"/>
    </row>
    <row r="61" spans="16:16" x14ac:dyDescent="0.25">
      <c r="P61" s="13"/>
    </row>
    <row r="62" spans="16:16" x14ac:dyDescent="0.25">
      <c r="P62" s="13"/>
    </row>
    <row r="63" spans="16:16" x14ac:dyDescent="0.25">
      <c r="P63" s="13"/>
    </row>
    <row r="64" spans="16:16" x14ac:dyDescent="0.25">
      <c r="P64" s="13"/>
    </row>
    <row r="65" spans="16:16" x14ac:dyDescent="0.25">
      <c r="P65" s="13"/>
    </row>
    <row r="66" spans="16:16" x14ac:dyDescent="0.25">
      <c r="P66" s="13"/>
    </row>
    <row r="67" spans="16:16" x14ac:dyDescent="0.25">
      <c r="P67" s="13"/>
    </row>
    <row r="68" spans="16:16" x14ac:dyDescent="0.25">
      <c r="P68" s="13"/>
    </row>
    <row r="69" spans="16:16" x14ac:dyDescent="0.25">
      <c r="P69" s="13"/>
    </row>
    <row r="70" spans="16:16" x14ac:dyDescent="0.25">
      <c r="P70" s="13"/>
    </row>
    <row r="71" spans="16:16" x14ac:dyDescent="0.25">
      <c r="P71" s="13"/>
    </row>
    <row r="72" spans="16:16" x14ac:dyDescent="0.25">
      <c r="P72" s="13"/>
    </row>
    <row r="73" spans="16:16" x14ac:dyDescent="0.25">
      <c r="P73" s="13"/>
    </row>
    <row r="74" spans="16:16" x14ac:dyDescent="0.25">
      <c r="P74" s="13"/>
    </row>
    <row r="75" spans="16:16" x14ac:dyDescent="0.25">
      <c r="P75" s="13"/>
    </row>
    <row r="76" spans="16:16" x14ac:dyDescent="0.25">
      <c r="P76" s="13"/>
    </row>
    <row r="77" spans="16:16" x14ac:dyDescent="0.25">
      <c r="P77" s="13"/>
    </row>
    <row r="78" spans="16:16" x14ac:dyDescent="0.25">
      <c r="P78" s="13"/>
    </row>
    <row r="79" spans="16:16" x14ac:dyDescent="0.25">
      <c r="P79" s="13"/>
    </row>
    <row r="80" spans="16:16" x14ac:dyDescent="0.25">
      <c r="P80" s="13"/>
    </row>
    <row r="81" spans="16:16" x14ac:dyDescent="0.25">
      <c r="P81" s="13"/>
    </row>
    <row r="82" spans="16:16" x14ac:dyDescent="0.25">
      <c r="P82" s="13"/>
    </row>
    <row r="83" spans="16:16" x14ac:dyDescent="0.25">
      <c r="P83" s="13"/>
    </row>
    <row r="84" spans="16:16" x14ac:dyDescent="0.25">
      <c r="P84" s="13"/>
    </row>
    <row r="85" spans="16:16" x14ac:dyDescent="0.25">
      <c r="P85" s="13"/>
    </row>
    <row r="86" spans="16:16" x14ac:dyDescent="0.25">
      <c r="P86" s="13"/>
    </row>
    <row r="87" spans="16:16" x14ac:dyDescent="0.25">
      <c r="P87" s="13"/>
    </row>
    <row r="88" spans="16:16" x14ac:dyDescent="0.25">
      <c r="P88" s="13"/>
    </row>
    <row r="89" spans="16:16" x14ac:dyDescent="0.25">
      <c r="P89" s="13"/>
    </row>
    <row r="90" spans="16:16" x14ac:dyDescent="0.25">
      <c r="P90" s="13"/>
    </row>
    <row r="91" spans="16:16" x14ac:dyDescent="0.25">
      <c r="P91" s="13"/>
    </row>
    <row r="92" spans="16:16" x14ac:dyDescent="0.25">
      <c r="P92" s="13"/>
    </row>
    <row r="93" spans="16:16" x14ac:dyDescent="0.25">
      <c r="P93" s="13"/>
    </row>
    <row r="94" spans="16:16" x14ac:dyDescent="0.25">
      <c r="P94" s="13"/>
    </row>
    <row r="95" spans="16:16" x14ac:dyDescent="0.25">
      <c r="P95" s="13"/>
    </row>
    <row r="96" spans="16:16" x14ac:dyDescent="0.25">
      <c r="P96" s="13"/>
    </row>
    <row r="97" spans="16:16" x14ac:dyDescent="0.25">
      <c r="P97" s="13"/>
    </row>
    <row r="98" spans="16:16" x14ac:dyDescent="0.25">
      <c r="P98" s="13"/>
    </row>
    <row r="99" spans="16:16" x14ac:dyDescent="0.25">
      <c r="P99" s="13"/>
    </row>
    <row r="100" spans="16:16" x14ac:dyDescent="0.25">
      <c r="P100" s="13"/>
    </row>
    <row r="101" spans="16:16" x14ac:dyDescent="0.25">
      <c r="P101" s="13"/>
    </row>
    <row r="102" spans="16:16" x14ac:dyDescent="0.25">
      <c r="P102" s="13"/>
    </row>
    <row r="103" spans="16:16" x14ac:dyDescent="0.25">
      <c r="P103" s="13"/>
    </row>
    <row r="104" spans="16:16" x14ac:dyDescent="0.25">
      <c r="P104" s="13"/>
    </row>
    <row r="105" spans="16:16" x14ac:dyDescent="0.25">
      <c r="P105" s="13"/>
    </row>
    <row r="106" spans="16:16" x14ac:dyDescent="0.25">
      <c r="P106" s="13"/>
    </row>
    <row r="107" spans="16:16" x14ac:dyDescent="0.25">
      <c r="P107" s="13"/>
    </row>
    <row r="108" spans="16:16" x14ac:dyDescent="0.25">
      <c r="P108" s="13"/>
    </row>
    <row r="109" spans="16:16" x14ac:dyDescent="0.25">
      <c r="P109" s="13"/>
    </row>
    <row r="110" spans="16:16" x14ac:dyDescent="0.25">
      <c r="P110" s="13"/>
    </row>
    <row r="111" spans="16:16" x14ac:dyDescent="0.25">
      <c r="P111" s="13"/>
    </row>
    <row r="112" spans="16:16" x14ac:dyDescent="0.25">
      <c r="P112" s="13"/>
    </row>
    <row r="113" spans="16:16" x14ac:dyDescent="0.25">
      <c r="P113" s="13"/>
    </row>
    <row r="114" spans="16:16" x14ac:dyDescent="0.25">
      <c r="P114" s="13"/>
    </row>
    <row r="115" spans="16:16" x14ac:dyDescent="0.25">
      <c r="P115" s="13"/>
    </row>
    <row r="116" spans="16:16" x14ac:dyDescent="0.25">
      <c r="P116" s="13"/>
    </row>
    <row r="117" spans="16:16" x14ac:dyDescent="0.25">
      <c r="P117" s="13"/>
    </row>
    <row r="118" spans="16:16" x14ac:dyDescent="0.25">
      <c r="P118" s="13"/>
    </row>
    <row r="119" spans="16:16" x14ac:dyDescent="0.25">
      <c r="P119" s="13"/>
    </row>
    <row r="120" spans="16:16" x14ac:dyDescent="0.25">
      <c r="P120" s="13"/>
    </row>
    <row r="121" spans="16:16" x14ac:dyDescent="0.25">
      <c r="P121" s="13"/>
    </row>
    <row r="122" spans="16:16" x14ac:dyDescent="0.25">
      <c r="P122" s="13"/>
    </row>
    <row r="123" spans="16:16" x14ac:dyDescent="0.25">
      <c r="P123" s="13"/>
    </row>
    <row r="124" spans="16:16" x14ac:dyDescent="0.25">
      <c r="P124" s="13"/>
    </row>
    <row r="125" spans="16:16" x14ac:dyDescent="0.25">
      <c r="P125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ColWidth="10.54296875" defaultRowHeight="15" x14ac:dyDescent="0.25"/>
  <cols>
    <col min="1" max="1" width="56.54296875" style="1" bestFit="1" customWidth="1"/>
    <col min="2" max="2" width="10.54296875" style="1" customWidth="1"/>
    <col min="3" max="3" width="14.54296875" style="1" customWidth="1"/>
    <col min="4" max="4" width="10.54296875" style="1" customWidth="1"/>
    <col min="5" max="5" width="10.54296875" style="32" customWidth="1"/>
    <col min="6" max="6" width="10.54296875" style="8"/>
    <col min="7" max="7" width="10.54296875" style="1"/>
    <col min="8" max="8" width="10.54296875" style="3"/>
    <col min="9" max="16384" width="10.54296875" style="1"/>
  </cols>
  <sheetData>
    <row r="1" spans="1:8" s="4" customFormat="1" ht="15.6" x14ac:dyDescent="0.3">
      <c r="A1" s="6" t="s">
        <v>116</v>
      </c>
      <c r="B1" s="36">
        <v>2014</v>
      </c>
      <c r="C1" s="36">
        <v>2015</v>
      </c>
      <c r="D1" s="36">
        <v>2016</v>
      </c>
      <c r="E1" s="36">
        <v>2017</v>
      </c>
      <c r="F1" s="65" t="s">
        <v>166</v>
      </c>
      <c r="H1" s="5" t="s">
        <v>77</v>
      </c>
    </row>
    <row r="2" spans="1:8" s="4" customFormat="1" ht="15.6" x14ac:dyDescent="0.3">
      <c r="A2" s="4" t="s">
        <v>11</v>
      </c>
      <c r="B2" s="31">
        <v>113.88500000000001</v>
      </c>
      <c r="C2" s="31">
        <v>109.581</v>
      </c>
      <c r="D2" s="31">
        <v>120.857</v>
      </c>
      <c r="E2" s="31">
        <v>142.30000000000001</v>
      </c>
      <c r="F2" s="7">
        <f>SUM(R_wyników_Q!J2:M2)</f>
        <v>169.76999999999998</v>
      </c>
      <c r="H2" s="5">
        <f>F2/E2-1</f>
        <v>0.19304286718200969</v>
      </c>
    </row>
    <row r="3" spans="1:8" x14ac:dyDescent="0.25">
      <c r="A3" s="1" t="s">
        <v>106</v>
      </c>
      <c r="B3" s="32">
        <v>52.167999999999999</v>
      </c>
      <c r="C3" s="32">
        <v>51.484000000000002</v>
      </c>
      <c r="D3" s="32">
        <v>55.6</v>
      </c>
      <c r="E3" s="32">
        <v>61.96</v>
      </c>
      <c r="F3" s="8">
        <f>SUM(R_wyników_Q!J3:M3)</f>
        <v>81.8</v>
      </c>
      <c r="H3" s="3">
        <f>F3/E3-1</f>
        <v>0.32020658489347964</v>
      </c>
    </row>
    <row r="4" spans="1:8" s="2" customFormat="1" ht="15.6" x14ac:dyDescent="0.3">
      <c r="A4" s="2" t="s">
        <v>107</v>
      </c>
      <c r="B4" s="33">
        <f>B3/B2</f>
        <v>0.45807612942880976</v>
      </c>
      <c r="C4" s="33">
        <f>C3/C2</f>
        <v>0.46982597348080418</v>
      </c>
      <c r="D4" s="33">
        <f>D3/D2</f>
        <v>0.46004782511563252</v>
      </c>
      <c r="E4" s="62">
        <f>E3/E2</f>
        <v>0.43541813070976809</v>
      </c>
      <c r="F4" s="63">
        <f>F3/F2</f>
        <v>0.48182835601107382</v>
      </c>
      <c r="H4" s="2">
        <f>F4-E4</f>
        <v>4.641022530130573E-2</v>
      </c>
    </row>
    <row r="5" spans="1:8" x14ac:dyDescent="0.25">
      <c r="A5" s="1" t="s">
        <v>108</v>
      </c>
      <c r="B5" s="32">
        <v>61.716000000000001</v>
      </c>
      <c r="C5" s="32">
        <v>58.097000000000001</v>
      </c>
      <c r="D5" s="32">
        <v>65.257000000000005</v>
      </c>
      <c r="E5" s="32">
        <v>80.34</v>
      </c>
      <c r="F5" s="8">
        <f>SUM(R_wyników_Q!J5:M5)</f>
        <v>87.97</v>
      </c>
      <c r="H5" s="3">
        <f>F5/E5-1</f>
        <v>9.4971371670400817E-2</v>
      </c>
    </row>
    <row r="6" spans="1:8" s="2" customFormat="1" ht="15.6" x14ac:dyDescent="0.3">
      <c r="A6" s="2" t="s">
        <v>109</v>
      </c>
      <c r="B6" s="33">
        <f>B5/B2</f>
        <v>0.54191508978355352</v>
      </c>
      <c r="C6" s="33">
        <f>C5/C2</f>
        <v>0.53017402651919587</v>
      </c>
      <c r="D6" s="33">
        <f>D5/D2</f>
        <v>0.53995217488436753</v>
      </c>
      <c r="E6" s="62">
        <f>E5/E2</f>
        <v>0.56458186929023191</v>
      </c>
      <c r="F6" s="63">
        <f>F5/F2</f>
        <v>0.51817164398892623</v>
      </c>
      <c r="H6" s="2">
        <f>F6-E6</f>
        <v>-4.6410225301305674E-2</v>
      </c>
    </row>
    <row r="7" spans="1:8" x14ac:dyDescent="0.25">
      <c r="A7" s="1" t="s">
        <v>12</v>
      </c>
      <c r="B7" s="32">
        <v>78.638000000000005</v>
      </c>
      <c r="C7" s="32">
        <v>69.656999999999996</v>
      </c>
      <c r="D7" s="32">
        <v>73.626999999999995</v>
      </c>
      <c r="E7" s="32">
        <v>80.44</v>
      </c>
      <c r="F7" s="8">
        <f>SUM(R_wyników_Q!J7:M7)</f>
        <v>100.61</v>
      </c>
      <c r="H7" s="3">
        <f>F7/E7-1</f>
        <v>0.25074589756340138</v>
      </c>
    </row>
    <row r="8" spans="1:8" s="2" customFormat="1" ht="15.6" x14ac:dyDescent="0.3">
      <c r="A8" s="2" t="s">
        <v>115</v>
      </c>
      <c r="B8" s="33">
        <f>B7/B2</f>
        <v>0.69050357817096197</v>
      </c>
      <c r="C8" s="33">
        <f>C7/C2</f>
        <v>0.63566676704903213</v>
      </c>
      <c r="D8" s="33">
        <f>D7/D2</f>
        <v>0.60920757589547969</v>
      </c>
      <c r="E8" s="33">
        <f>E7/E2</f>
        <v>0.56528460997891772</v>
      </c>
      <c r="F8" s="9">
        <f>F7/F2</f>
        <v>0.59262531660481832</v>
      </c>
      <c r="H8" s="2">
        <f>F8-E8</f>
        <v>2.7340706625900602E-2</v>
      </c>
    </row>
    <row r="9" spans="1:8" s="4" customFormat="1" ht="15.6" x14ac:dyDescent="0.3">
      <c r="A9" s="4" t="s">
        <v>13</v>
      </c>
      <c r="B9" s="31">
        <v>35.246000000000002</v>
      </c>
      <c r="C9" s="31">
        <v>39.923999999999999</v>
      </c>
      <c r="D9" s="31">
        <v>47.23</v>
      </c>
      <c r="E9" s="31">
        <v>61.86</v>
      </c>
      <c r="F9" s="7">
        <f>SUM(R_wyników_Q!J9:M9)</f>
        <v>69.150000000000006</v>
      </c>
      <c r="H9" s="5">
        <f>F9/E9-1</f>
        <v>0.11784675072744921</v>
      </c>
    </row>
    <row r="10" spans="1:8" s="2" customFormat="1" ht="15.6" x14ac:dyDescent="0.3">
      <c r="A10" s="2" t="s">
        <v>83</v>
      </c>
      <c r="B10" s="33">
        <f>B9/B2</f>
        <v>0.30948764104140142</v>
      </c>
      <c r="C10" s="33">
        <f>C9/C2</f>
        <v>0.36433323295096776</v>
      </c>
      <c r="D10" s="33">
        <f>D9/D2</f>
        <v>0.3907924241045202</v>
      </c>
      <c r="E10" s="33">
        <f>E9/E2</f>
        <v>0.43471539002108217</v>
      </c>
      <c r="F10" s="9">
        <f>F9/F2</f>
        <v>0.40731578017317555</v>
      </c>
      <c r="H10" s="2">
        <f>F10-E10</f>
        <v>-2.7399609847906625E-2</v>
      </c>
    </row>
    <row r="11" spans="1:8" x14ac:dyDescent="0.25">
      <c r="A11" s="1" t="s">
        <v>14</v>
      </c>
      <c r="B11" s="32">
        <v>3.5270000000000001</v>
      </c>
      <c r="C11" s="32">
        <v>1.9239999999999999</v>
      </c>
      <c r="D11" s="32">
        <v>2.077</v>
      </c>
      <c r="E11" s="32">
        <v>3.3</v>
      </c>
      <c r="F11" s="8">
        <f>SUM(R_wyników_Q!J11:M11)</f>
        <v>2.08</v>
      </c>
      <c r="H11" s="3">
        <f>F11/E11-1</f>
        <v>-0.36969696969696964</v>
      </c>
    </row>
    <row r="12" spans="1:8" x14ac:dyDescent="0.25">
      <c r="A12" s="1" t="s">
        <v>15</v>
      </c>
      <c r="B12" s="32">
        <v>20.65</v>
      </c>
      <c r="C12" s="32">
        <v>22.696000000000002</v>
      </c>
      <c r="D12" s="32">
        <v>30.015999999999998</v>
      </c>
      <c r="E12" s="32">
        <v>36.229999999999997</v>
      </c>
      <c r="F12" s="8">
        <f>SUM(R_wyników_Q!J12:M12)</f>
        <v>42.4</v>
      </c>
      <c r="H12" s="3">
        <f>F12/E12-1</f>
        <v>0.1703008556444936</v>
      </c>
    </row>
    <row r="13" spans="1:8" s="2" customFormat="1" ht="15.6" x14ac:dyDescent="0.3">
      <c r="A13" s="2" t="s">
        <v>80</v>
      </c>
      <c r="B13" s="33">
        <f>B12/B2</f>
        <v>0.18132326469684329</v>
      </c>
      <c r="C13" s="33">
        <f>C12/C2</f>
        <v>0.20711619715096596</v>
      </c>
      <c r="D13" s="33">
        <f>D12/D2</f>
        <v>0.24835963163077024</v>
      </c>
      <c r="E13" s="33">
        <f>E12/E2</f>
        <v>0.25460295151089246</v>
      </c>
      <c r="F13" s="9">
        <f>F12/F2</f>
        <v>0.24974966130647347</v>
      </c>
      <c r="H13" s="2">
        <f>F13-E13</f>
        <v>-4.8532902044189918E-3</v>
      </c>
    </row>
    <row r="14" spans="1:8" x14ac:dyDescent="0.25">
      <c r="A14" s="1" t="s">
        <v>16</v>
      </c>
      <c r="B14" s="32">
        <v>11.872999999999999</v>
      </c>
      <c r="C14" s="32">
        <v>13.265000000000001</v>
      </c>
      <c r="D14" s="32">
        <v>13.116</v>
      </c>
      <c r="E14" s="32">
        <v>19.88</v>
      </c>
      <c r="F14" s="8">
        <f>SUM(R_wyników_Q!J14:M14)</f>
        <v>21.130000000000003</v>
      </c>
      <c r="H14" s="3">
        <f>F14/E14-1</f>
        <v>6.2877263581489151E-2</v>
      </c>
    </row>
    <row r="15" spans="1:8" s="2" customFormat="1" ht="15.6" x14ac:dyDescent="0.3">
      <c r="A15" s="2" t="s">
        <v>81</v>
      </c>
      <c r="B15" s="33">
        <f>B14/B2</f>
        <v>0.1042542916099574</v>
      </c>
      <c r="C15" s="33">
        <f>C14/C2</f>
        <v>0.12105200719102764</v>
      </c>
      <c r="D15" s="33">
        <f>D14/D2</f>
        <v>0.10852495097511936</v>
      </c>
      <c r="E15" s="33">
        <f>E14/E2</f>
        <v>0.13970484891075191</v>
      </c>
      <c r="F15" s="9">
        <f>F14/F2</f>
        <v>0.12446250809919306</v>
      </c>
      <c r="H15" s="2">
        <f>F15-E15</f>
        <v>-1.5242340811558855E-2</v>
      </c>
    </row>
    <row r="16" spans="1:8" x14ac:dyDescent="0.25">
      <c r="A16" s="1" t="s">
        <v>25</v>
      </c>
      <c r="B16" s="32">
        <v>1.2</v>
      </c>
      <c r="C16" s="32">
        <v>1.1339999999999999</v>
      </c>
      <c r="D16" s="32">
        <v>0.67900000000000005</v>
      </c>
      <c r="E16" s="32">
        <v>1.8</v>
      </c>
      <c r="F16" s="8">
        <f>SUM(R_wyników_Q!J16:M16)</f>
        <v>1.19</v>
      </c>
      <c r="H16" s="3">
        <f>F16/E16-1</f>
        <v>-0.33888888888888891</v>
      </c>
    </row>
    <row r="17" spans="1:8" s="4" customFormat="1" ht="15.6" x14ac:dyDescent="0.3">
      <c r="A17" s="4" t="s">
        <v>82</v>
      </c>
      <c r="B17" s="31">
        <v>8.4280000000000008</v>
      </c>
      <c r="C17" s="31">
        <v>8.36</v>
      </c>
      <c r="D17" s="31">
        <v>9.9489999999999998</v>
      </c>
      <c r="E17" s="31">
        <v>12.3</v>
      </c>
      <c r="F17" s="7">
        <f>SUM(R_wyników_Q!J17:M17)</f>
        <v>13.8</v>
      </c>
      <c r="H17" s="5">
        <f>F17/E17-1</f>
        <v>0.12195121951219501</v>
      </c>
    </row>
    <row r="18" spans="1:8" s="2" customFormat="1" ht="15.6" x14ac:dyDescent="0.3">
      <c r="A18" s="2" t="s">
        <v>84</v>
      </c>
      <c r="B18" s="33">
        <f>B17/B2</f>
        <v>7.4004478201694701E-2</v>
      </c>
      <c r="C18" s="33">
        <f>C17/C2</f>
        <v>7.6290597822615228E-2</v>
      </c>
      <c r="D18" s="33">
        <f>D17/D2</f>
        <v>8.2320428274737914E-2</v>
      </c>
      <c r="E18" s="33">
        <f>E17/E2</f>
        <v>8.6437104708362605E-2</v>
      </c>
      <c r="F18" s="9">
        <f>F17/F2</f>
        <v>8.1286446368616372E-2</v>
      </c>
      <c r="H18" s="2">
        <f>F18-E18</f>
        <v>-5.1506583397462335E-3</v>
      </c>
    </row>
    <row r="19" spans="1:8" s="4" customFormat="1" ht="15.6" x14ac:dyDescent="0.3">
      <c r="A19" s="4" t="s">
        <v>17</v>
      </c>
      <c r="B19" s="31">
        <v>5.05</v>
      </c>
      <c r="C19" s="31">
        <v>4.7530000000000001</v>
      </c>
      <c r="D19" s="31">
        <v>5.4950000000000001</v>
      </c>
      <c r="E19" s="31">
        <v>7.26</v>
      </c>
      <c r="F19" s="7">
        <f>SUM(R_wyników_Q!J19:M19)</f>
        <v>6.5200000000000014</v>
      </c>
      <c r="H19" s="5">
        <f>F19/E19-1</f>
        <v>-0.10192837465564719</v>
      </c>
    </row>
    <row r="20" spans="1:8" s="2" customFormat="1" ht="15.6" x14ac:dyDescent="0.3">
      <c r="A20" s="2" t="s">
        <v>85</v>
      </c>
      <c r="B20" s="33">
        <f>B19/B2</f>
        <v>4.4342977565087587E-2</v>
      </c>
      <c r="C20" s="33">
        <f>C19/C2</f>
        <v>4.3374307589819402E-2</v>
      </c>
      <c r="D20" s="33">
        <f>D19/D2</f>
        <v>4.5466956816733829E-2</v>
      </c>
      <c r="E20" s="33">
        <f>E19/E2</f>
        <v>5.1018973998594515E-2</v>
      </c>
      <c r="F20" s="9">
        <f>F19/F2</f>
        <v>3.840490074807093E-2</v>
      </c>
      <c r="H20" s="2">
        <f>F20-E20</f>
        <v>-1.2614073250523584E-2</v>
      </c>
    </row>
    <row r="21" spans="1:8" x14ac:dyDescent="0.25">
      <c r="A21" s="1" t="s">
        <v>18</v>
      </c>
      <c r="B21" s="32">
        <v>0.23100000000000001</v>
      </c>
      <c r="C21" s="32">
        <v>0.14099999999999999</v>
      </c>
      <c r="D21" s="32">
        <v>3.2000000000000001E-2</v>
      </c>
      <c r="E21" s="32">
        <v>2.15</v>
      </c>
      <c r="F21" s="8">
        <f>SUM(R_wyników_Q!J21:M21)-0.45</f>
        <v>0.06</v>
      </c>
      <c r="H21" s="3">
        <f t="shared" ref="H21:H26" si="0">F21/E21-1</f>
        <v>-0.97209302325581393</v>
      </c>
    </row>
    <row r="22" spans="1:8" x14ac:dyDescent="0.25">
      <c r="A22" s="1" t="s">
        <v>19</v>
      </c>
      <c r="B22" s="32">
        <v>1.4119999999999999</v>
      </c>
      <c r="C22" s="32">
        <v>0.752</v>
      </c>
      <c r="D22" s="32">
        <v>1.5669999999999999</v>
      </c>
      <c r="E22" s="32">
        <v>0.75</v>
      </c>
      <c r="F22" s="8">
        <f>SUM(R_wyników_Q!J22:M22)-0.45</f>
        <v>2.19</v>
      </c>
      <c r="H22" s="3">
        <f t="shared" si="0"/>
        <v>1.92</v>
      </c>
    </row>
    <row r="23" spans="1:8" x14ac:dyDescent="0.25">
      <c r="A23" s="1" t="s">
        <v>20</v>
      </c>
      <c r="B23" s="32">
        <v>3.8690000000000002</v>
      </c>
      <c r="C23" s="32">
        <v>4.1429999999999998</v>
      </c>
      <c r="D23" s="32">
        <v>3.9609999999999999</v>
      </c>
      <c r="E23" s="32">
        <v>8.67</v>
      </c>
      <c r="F23" s="8">
        <f>SUM(R_wyników_Q!J23:M23)</f>
        <v>4.3899999999999988</v>
      </c>
      <c r="H23" s="3">
        <f t="shared" si="0"/>
        <v>-0.49365628604382938</v>
      </c>
    </row>
    <row r="24" spans="1:8" x14ac:dyDescent="0.25">
      <c r="A24" s="1" t="s">
        <v>21</v>
      </c>
      <c r="B24" s="32">
        <v>0.35699999999999998</v>
      </c>
      <c r="C24" s="32">
        <v>1.169</v>
      </c>
      <c r="D24" s="32">
        <v>0.82799999999999996</v>
      </c>
      <c r="E24" s="32">
        <v>1.67</v>
      </c>
      <c r="F24" s="8">
        <f>SUM(R_wyników_Q!J24:M24)+0.01</f>
        <v>0.10999999999999995</v>
      </c>
      <c r="H24" s="3">
        <f t="shared" si="0"/>
        <v>-0.93413173652694614</v>
      </c>
    </row>
    <row r="25" spans="1:8" x14ac:dyDescent="0.25">
      <c r="A25" s="1" t="s">
        <v>22</v>
      </c>
      <c r="B25" s="32">
        <v>3.512</v>
      </c>
      <c r="C25" s="32">
        <v>2.9740000000000002</v>
      </c>
      <c r="D25" s="32">
        <v>3.133</v>
      </c>
      <c r="E25" s="32">
        <v>7</v>
      </c>
      <c r="F25" s="8">
        <f>SUM(R_wyników_Q!J25:M25)</f>
        <v>4.28</v>
      </c>
      <c r="H25" s="3">
        <f t="shared" si="0"/>
        <v>-0.38857142857142857</v>
      </c>
    </row>
    <row r="26" spans="1:8" s="4" customFormat="1" ht="15.6" x14ac:dyDescent="0.3">
      <c r="A26" s="4" t="s">
        <v>26</v>
      </c>
      <c r="B26" s="31">
        <v>3.512</v>
      </c>
      <c r="C26" s="31">
        <v>2.9740000000000002</v>
      </c>
      <c r="D26" s="31">
        <v>3.133</v>
      </c>
      <c r="E26" s="31">
        <v>7</v>
      </c>
      <c r="F26" s="7">
        <f>SUM(R_wyników_Q!J26:M26)</f>
        <v>4.3099999999999996</v>
      </c>
      <c r="H26" s="5">
        <f t="shared" si="0"/>
        <v>-0.38428571428571434</v>
      </c>
    </row>
    <row r="27" spans="1:8" s="2" customFormat="1" ht="15.6" x14ac:dyDescent="0.3">
      <c r="A27" s="2" t="s">
        <v>86</v>
      </c>
      <c r="B27" s="33">
        <f>B26/B2</f>
        <v>3.0838126179918338E-2</v>
      </c>
      <c r="C27" s="33">
        <f>C26/C2</f>
        <v>2.7139741378523652E-2</v>
      </c>
      <c r="D27" s="33">
        <f>D26/D2</f>
        <v>2.5923198490778357E-2</v>
      </c>
      <c r="E27" s="33">
        <f>E26/E2</f>
        <v>4.9191848208011237E-2</v>
      </c>
      <c r="F27" s="9">
        <f>F26/F2</f>
        <v>2.5387288684691051E-2</v>
      </c>
      <c r="H27" s="2">
        <f>F27-E27</f>
        <v>-2.3804559523320185E-2</v>
      </c>
    </row>
    <row r="28" spans="1:8" x14ac:dyDescent="0.25">
      <c r="A28" s="1" t="s">
        <v>23</v>
      </c>
      <c r="B28" s="32">
        <v>4</v>
      </c>
      <c r="C28" s="32">
        <v>3.8050000000000002</v>
      </c>
      <c r="D28" s="32">
        <v>3.0089999999999999</v>
      </c>
      <c r="E28" s="32">
        <v>7.09</v>
      </c>
      <c r="F28" s="8">
        <f>SUM(R_wyników_Q!J28:M28)</f>
        <v>4.3099999999999996</v>
      </c>
      <c r="H28" s="3">
        <f>F28/E28-1</f>
        <v>-0.39210155148095915</v>
      </c>
    </row>
    <row r="29" spans="1:8" x14ac:dyDescent="0.25">
      <c r="A29" s="1" t="s">
        <v>24</v>
      </c>
      <c r="B29" s="32">
        <v>0.56000000000000005</v>
      </c>
      <c r="C29" s="32">
        <v>0.53</v>
      </c>
      <c r="D29" s="32">
        <v>0.41</v>
      </c>
      <c r="E29" s="32">
        <v>0.99</v>
      </c>
      <c r="F29" s="8">
        <f>SUM(R_wyników_Q!J29:M29)</f>
        <v>0.6</v>
      </c>
      <c r="H29" s="3">
        <f>F29/E29-1</f>
        <v>-0.39393939393939392</v>
      </c>
    </row>
    <row r="30" spans="1:8" x14ac:dyDescent="0.25">
      <c r="B30" s="32"/>
      <c r="C30" s="32"/>
      <c r="D30" s="32"/>
    </row>
    <row r="31" spans="1:8" x14ac:dyDescent="0.25">
      <c r="B31" s="32"/>
      <c r="C31" s="32"/>
      <c r="D31" s="32"/>
    </row>
    <row r="32" spans="1:8" x14ac:dyDescent="0.25">
      <c r="B32" s="32"/>
      <c r="C32" s="46"/>
      <c r="D32" s="32"/>
    </row>
    <row r="33" spans="2:4" x14ac:dyDescent="0.25">
      <c r="B33" s="32"/>
      <c r="C33" s="32"/>
      <c r="D33" s="32"/>
    </row>
    <row r="34" spans="2:4" x14ac:dyDescent="0.25">
      <c r="B34" s="32"/>
      <c r="C34" s="32"/>
      <c r="D34" s="32"/>
    </row>
    <row r="35" spans="2:4" x14ac:dyDescent="0.25">
      <c r="B35" s="32"/>
      <c r="C35" s="32"/>
      <c r="D35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zoomScaleNormal="100" workbookViewId="0">
      <pane xSplit="1" ySplit="1" topLeftCell="I2" activePane="bottomRight" state="frozenSplit"/>
      <selection pane="topRight" activeCell="B1" sqref="B1"/>
      <selection pane="bottomLeft" activeCell="A39" sqref="A39"/>
      <selection pane="bottomRight"/>
    </sheetView>
  </sheetViews>
  <sheetFormatPr defaultColWidth="10.54296875" defaultRowHeight="15" x14ac:dyDescent="0.25"/>
  <cols>
    <col min="1" max="1" width="62.453125" style="10" bestFit="1" customWidth="1"/>
    <col min="2" max="13" width="10.54296875" style="10"/>
    <col min="14" max="14" width="10.54296875" style="13"/>
    <col min="15" max="16" width="10.54296875" style="3"/>
    <col min="17" max="16384" width="10.54296875" style="10"/>
  </cols>
  <sheetData>
    <row r="1" spans="1:18" s="4" customFormat="1" ht="15.6" x14ac:dyDescent="0.3">
      <c r="A1" s="6" t="s">
        <v>119</v>
      </c>
      <c r="B1" s="4" t="s">
        <v>101</v>
      </c>
      <c r="C1" s="4" t="s">
        <v>102</v>
      </c>
      <c r="D1" s="37" t="s">
        <v>103</v>
      </c>
      <c r="E1" s="4" t="s">
        <v>104</v>
      </c>
      <c r="F1" s="4" t="s">
        <v>105</v>
      </c>
      <c r="G1" s="4" t="s">
        <v>151</v>
      </c>
      <c r="H1" s="4" t="s">
        <v>153</v>
      </c>
      <c r="I1" s="4" t="s">
        <v>157</v>
      </c>
      <c r="J1" s="4" t="s">
        <v>158</v>
      </c>
      <c r="K1" s="4" t="s">
        <v>160</v>
      </c>
      <c r="L1" s="4" t="s">
        <v>163</v>
      </c>
      <c r="M1" s="4" t="s">
        <v>165</v>
      </c>
      <c r="N1" s="7" t="s">
        <v>169</v>
      </c>
      <c r="O1" s="5" t="s">
        <v>78</v>
      </c>
      <c r="P1" s="5" t="s">
        <v>77</v>
      </c>
    </row>
    <row r="2" spans="1:18" s="11" customFormat="1" ht="15.6" x14ac:dyDescent="0.3">
      <c r="A2" s="11" t="s">
        <v>50</v>
      </c>
      <c r="O2" s="12"/>
      <c r="P2" s="12"/>
    </row>
    <row r="3" spans="1:18" x14ac:dyDescent="0.25">
      <c r="A3" s="10" t="s">
        <v>20</v>
      </c>
      <c r="B3" s="10">
        <v>-0.79154000000000002</v>
      </c>
      <c r="C3" s="10">
        <v>1.47777</v>
      </c>
      <c r="D3" s="10">
        <v>1.22821</v>
      </c>
      <c r="E3" s="10">
        <v>2.0459999999999998</v>
      </c>
      <c r="F3" s="10">
        <v>0.82</v>
      </c>
      <c r="G3" s="10">
        <v>1.49</v>
      </c>
      <c r="H3" s="10">
        <v>1.73</v>
      </c>
      <c r="I3" s="10">
        <v>4.629999999999999</v>
      </c>
      <c r="J3" s="10">
        <v>0.99</v>
      </c>
      <c r="K3" s="10">
        <v>1.7300000000000002</v>
      </c>
      <c r="L3" s="10">
        <f>4.79-K3-J3</f>
        <v>2.0699999999999994</v>
      </c>
      <c r="M3" s="10">
        <v>-0.4</v>
      </c>
      <c r="N3" s="13">
        <v>1.08</v>
      </c>
      <c r="O3" s="3">
        <f>N3/M3-1</f>
        <v>-3.7</v>
      </c>
      <c r="P3" s="3">
        <f>N3/J3-1</f>
        <v>9.090909090909105E-2</v>
      </c>
    </row>
    <row r="4" spans="1:18" x14ac:dyDescent="0.25">
      <c r="A4" s="10" t="s">
        <v>51</v>
      </c>
      <c r="B4" s="10">
        <v>2.38307</v>
      </c>
      <c r="C4" s="10">
        <v>-0.80447999999999997</v>
      </c>
      <c r="D4" s="10">
        <v>1.0454000000000001</v>
      </c>
      <c r="E4" s="10">
        <v>-0.13700000000000001</v>
      </c>
      <c r="F4" s="10">
        <v>2.86</v>
      </c>
      <c r="G4" s="10">
        <v>1.26</v>
      </c>
      <c r="H4" s="10">
        <v>-2.09</v>
      </c>
      <c r="I4" s="10">
        <v>-2.2300000000000004</v>
      </c>
      <c r="J4" s="10">
        <v>-1.19</v>
      </c>
      <c r="K4" s="10">
        <v>-1.96</v>
      </c>
      <c r="L4" s="10">
        <f>-3.28-J4-K4</f>
        <v>-0.12999999999999989</v>
      </c>
      <c r="M4" s="10">
        <v>8.8699999999999992</v>
      </c>
      <c r="N4" s="13">
        <v>-0.04</v>
      </c>
      <c r="O4" s="3">
        <f t="shared" ref="O4:O13" si="0">N4/M4-1</f>
        <v>-1.004509582863585</v>
      </c>
      <c r="P4" s="3">
        <f t="shared" ref="P4:P13" si="1">N4/J4-1</f>
        <v>-0.96638655462184875</v>
      </c>
    </row>
    <row r="5" spans="1:18" x14ac:dyDescent="0.25">
      <c r="A5" s="10" t="s">
        <v>52</v>
      </c>
      <c r="B5" s="10">
        <v>1.0294399999999999</v>
      </c>
      <c r="C5" s="10">
        <v>1.00759</v>
      </c>
      <c r="D5" s="10">
        <v>1.12782</v>
      </c>
      <c r="E5" s="10">
        <v>1.2889999999999999</v>
      </c>
      <c r="F5" s="10">
        <v>1.2347699999999999</v>
      </c>
      <c r="G5" s="10">
        <v>1.22</v>
      </c>
      <c r="H5" s="10">
        <v>1.28</v>
      </c>
      <c r="I5" s="10">
        <v>1.2952300000000003</v>
      </c>
      <c r="J5" s="10">
        <v>1.5</v>
      </c>
      <c r="K5" s="10">
        <v>1.6099999999999999</v>
      </c>
      <c r="L5" s="10">
        <f>4.79-J5-K5</f>
        <v>1.6800000000000002</v>
      </c>
      <c r="M5" s="10">
        <v>2.4900000000000002</v>
      </c>
      <c r="N5" s="13">
        <v>1.98</v>
      </c>
      <c r="O5" s="3">
        <f t="shared" si="0"/>
        <v>-0.20481927710843384</v>
      </c>
      <c r="P5" s="3">
        <f t="shared" si="1"/>
        <v>0.32000000000000006</v>
      </c>
    </row>
    <row r="6" spans="1:18" x14ac:dyDescent="0.25">
      <c r="A6" s="10" t="s">
        <v>53</v>
      </c>
      <c r="B6" s="10">
        <v>0.25012000000000001</v>
      </c>
      <c r="C6" s="10">
        <v>-0.24448</v>
      </c>
      <c r="D6" s="10">
        <v>0.44131999999999999</v>
      </c>
      <c r="E6" s="10">
        <v>0.78</v>
      </c>
      <c r="F6" s="10">
        <v>-0.21937999999999999</v>
      </c>
      <c r="G6" s="10">
        <v>-0.6</v>
      </c>
      <c r="H6" s="10">
        <v>0.83</v>
      </c>
      <c r="I6" s="10">
        <v>-1.3306200000000001</v>
      </c>
      <c r="J6" s="10">
        <v>-0.03</v>
      </c>
      <c r="K6" s="10">
        <v>-0.37</v>
      </c>
      <c r="L6" s="10">
        <f>-0.28-K6-J6</f>
        <v>0.11999999999999997</v>
      </c>
      <c r="M6" s="10">
        <v>0.24</v>
      </c>
      <c r="N6" s="13">
        <v>0.01</v>
      </c>
      <c r="O6" s="3">
        <f t="shared" si="0"/>
        <v>-0.95833333333333337</v>
      </c>
      <c r="P6" s="3">
        <f t="shared" si="1"/>
        <v>-1.3333333333333335</v>
      </c>
    </row>
    <row r="7" spans="1:18" x14ac:dyDescent="0.25">
      <c r="A7" s="10" t="s">
        <v>54</v>
      </c>
      <c r="B7" s="10">
        <v>0.14813000000000001</v>
      </c>
      <c r="C7" s="10">
        <v>-4.4490000000000002E-2</v>
      </c>
      <c r="D7" s="10">
        <v>0.14371999999999999</v>
      </c>
      <c r="E7" s="10">
        <v>0.372</v>
      </c>
      <c r="F7" s="10">
        <v>0.16689999999999999</v>
      </c>
      <c r="G7" s="10">
        <v>0.18</v>
      </c>
      <c r="H7" s="10">
        <v>0.17</v>
      </c>
      <c r="I7" s="10">
        <v>0.21309999999999993</v>
      </c>
      <c r="J7" s="10">
        <v>0.22</v>
      </c>
      <c r="K7" s="10">
        <v>0.26</v>
      </c>
      <c r="L7" s="10">
        <f>0.78-K7-J7</f>
        <v>0.30000000000000004</v>
      </c>
      <c r="M7" s="10">
        <v>0.35</v>
      </c>
      <c r="N7" s="13">
        <v>0.34</v>
      </c>
      <c r="O7" s="3">
        <f t="shared" si="0"/>
        <v>-2.857142857142847E-2</v>
      </c>
      <c r="P7" s="3">
        <f t="shared" si="1"/>
        <v>0.54545454545454564</v>
      </c>
    </row>
    <row r="8" spans="1:18" x14ac:dyDescent="0.25">
      <c r="A8" s="10" t="s">
        <v>55</v>
      </c>
      <c r="B8" s="10">
        <v>0.24176</v>
      </c>
      <c r="C8" s="10">
        <v>0.19389999999999999</v>
      </c>
      <c r="D8" s="10">
        <v>1.4540299999999999</v>
      </c>
      <c r="E8" s="10">
        <v>-1.522</v>
      </c>
      <c r="F8" s="10">
        <v>0.58592</v>
      </c>
      <c r="G8" s="10">
        <v>2.0499999999999998</v>
      </c>
      <c r="H8" s="10">
        <v>2.1800000000000002</v>
      </c>
      <c r="I8" s="10">
        <v>-1.4559200000000003</v>
      </c>
      <c r="J8" s="10">
        <v>1.37</v>
      </c>
      <c r="K8" s="10">
        <v>0.48</v>
      </c>
      <c r="L8" s="10">
        <f>2.26-J8-K8</f>
        <v>0.4099999999999997</v>
      </c>
      <c r="M8" s="10">
        <v>-1.8</v>
      </c>
      <c r="N8" s="13">
        <v>0.63</v>
      </c>
      <c r="O8" s="3">
        <f t="shared" si="0"/>
        <v>-1.35</v>
      </c>
      <c r="P8" s="3">
        <f t="shared" si="1"/>
        <v>-0.54014598540145986</v>
      </c>
    </row>
    <row r="9" spans="1:18" x14ac:dyDescent="0.25">
      <c r="A9" s="10" t="s">
        <v>56</v>
      </c>
      <c r="B9" s="10">
        <v>-0.85567000000000004</v>
      </c>
      <c r="C9" s="10">
        <v>6.701E-2</v>
      </c>
      <c r="D9" s="10">
        <v>-2.1099800000000002</v>
      </c>
      <c r="E9" s="10">
        <v>-2.4020000000000001</v>
      </c>
      <c r="F9" s="10">
        <v>-3.3047300000000002</v>
      </c>
      <c r="G9" s="10">
        <v>1.65</v>
      </c>
      <c r="H9" s="10">
        <v>-1.08</v>
      </c>
      <c r="I9" s="10">
        <v>-2.526999999999946E-2</v>
      </c>
      <c r="J9" s="10">
        <v>1.3</v>
      </c>
      <c r="K9" s="10">
        <v>-1.32</v>
      </c>
      <c r="L9" s="10">
        <f>-7.35-K9-J9</f>
        <v>-7.3299999999999992</v>
      </c>
      <c r="M9" s="10">
        <v>2.27</v>
      </c>
      <c r="N9" s="13">
        <v>-1.04</v>
      </c>
      <c r="O9" s="3">
        <f t="shared" si="0"/>
        <v>-1.4581497797356828</v>
      </c>
      <c r="P9" s="3">
        <f t="shared" si="1"/>
        <v>-1.8</v>
      </c>
    </row>
    <row r="10" spans="1:18" x14ac:dyDescent="0.25">
      <c r="A10" s="10" t="s">
        <v>57</v>
      </c>
      <c r="B10" s="10">
        <v>6.9498600000000001</v>
      </c>
      <c r="C10" s="10">
        <v>-3.1633</v>
      </c>
      <c r="D10" s="10">
        <v>-2.5252400000000002</v>
      </c>
      <c r="E10" s="10">
        <v>-3.2970000000000002</v>
      </c>
      <c r="F10" s="10">
        <v>4.3353599999999997</v>
      </c>
      <c r="G10" s="10">
        <v>-1.67</v>
      </c>
      <c r="H10" s="10">
        <v>-3.73</v>
      </c>
      <c r="I10" s="10">
        <v>-3.2053599999999993</v>
      </c>
      <c r="J10" s="10">
        <v>2.5</v>
      </c>
      <c r="K10" s="10">
        <v>-7.26</v>
      </c>
      <c r="L10" s="10">
        <f>-4.08-J10-K10</f>
        <v>0.67999999999999972</v>
      </c>
      <c r="M10" s="10">
        <v>-0.09</v>
      </c>
      <c r="N10" s="13">
        <v>9.4600000000000009</v>
      </c>
      <c r="O10" s="3">
        <f t="shared" si="0"/>
        <v>-106.11111111111113</v>
      </c>
      <c r="P10" s="3">
        <f t="shared" si="1"/>
        <v>2.7840000000000003</v>
      </c>
    </row>
    <row r="11" spans="1:18" x14ac:dyDescent="0.25">
      <c r="A11" s="10" t="s">
        <v>58</v>
      </c>
      <c r="B11" s="10">
        <v>-4.83596</v>
      </c>
      <c r="C11" s="10">
        <v>1.3700300000000001</v>
      </c>
      <c r="D11" s="10">
        <v>2.2540499999999999</v>
      </c>
      <c r="E11" s="10">
        <v>5.9459999999999997</v>
      </c>
      <c r="F11" s="10">
        <v>0.20008999999999999</v>
      </c>
      <c r="G11" s="10">
        <v>-1.21</v>
      </c>
      <c r="H11" s="10">
        <v>-1.35</v>
      </c>
      <c r="I11" s="10">
        <v>3.8599100000000002</v>
      </c>
      <c r="J11" s="10">
        <v>-6.85</v>
      </c>
      <c r="K11" s="10">
        <v>5.5299999999999994</v>
      </c>
      <c r="L11" s="10">
        <f>2.14-K11-J11</f>
        <v>3.4600000000000004</v>
      </c>
      <c r="M11" s="10">
        <v>4.57</v>
      </c>
      <c r="N11" s="13">
        <v>-11.4</v>
      </c>
      <c r="O11" s="3">
        <f t="shared" si="0"/>
        <v>-3.4945295404814005</v>
      </c>
      <c r="P11" s="3">
        <f t="shared" si="1"/>
        <v>0.66423357664233595</v>
      </c>
    </row>
    <row r="12" spans="1:18" x14ac:dyDescent="0.25">
      <c r="A12" s="10" t="s">
        <v>59</v>
      </c>
      <c r="B12" s="10">
        <v>-0.52107000000000003</v>
      </c>
      <c r="C12" s="10">
        <v>9.2300000000000004E-3</v>
      </c>
      <c r="D12" s="10">
        <v>0.25968000000000002</v>
      </c>
      <c r="E12" s="10">
        <v>-1.302</v>
      </c>
      <c r="F12" s="10">
        <v>-0.13431000000000001</v>
      </c>
      <c r="G12" s="10">
        <v>-0.35</v>
      </c>
      <c r="H12" s="10">
        <v>-0.33</v>
      </c>
      <c r="I12" s="10">
        <v>-1.5356899999999998</v>
      </c>
      <c r="J12" s="10">
        <v>-0.54</v>
      </c>
      <c r="K12" s="10">
        <v>-0.75</v>
      </c>
      <c r="L12" s="10">
        <f>-0.92-J12-K12</f>
        <v>0.37</v>
      </c>
      <c r="M12" s="10">
        <v>0.95</v>
      </c>
      <c r="N12" s="13">
        <v>-0.09</v>
      </c>
      <c r="O12" s="3">
        <f t="shared" si="0"/>
        <v>-1.0947368421052632</v>
      </c>
      <c r="P12" s="3">
        <f t="shared" si="1"/>
        <v>-0.83333333333333337</v>
      </c>
    </row>
    <row r="13" spans="1:18" s="4" customFormat="1" ht="15.6" x14ac:dyDescent="0.3">
      <c r="A13" s="4" t="s">
        <v>60</v>
      </c>
      <c r="B13" s="4">
        <v>1.5915299999999999</v>
      </c>
      <c r="C13" s="4">
        <v>0.67329000000000006</v>
      </c>
      <c r="D13" s="4">
        <v>2.2736100000000001</v>
      </c>
      <c r="E13" s="4">
        <v>1.91</v>
      </c>
      <c r="F13" s="4">
        <v>3.6861100000000002</v>
      </c>
      <c r="G13" s="4">
        <v>2.73</v>
      </c>
      <c r="H13" s="4">
        <v>-0.36</v>
      </c>
      <c r="I13" s="4">
        <v>2.4138900000000003</v>
      </c>
      <c r="J13" s="4">
        <v>-0.2</v>
      </c>
      <c r="K13" s="4">
        <v>-0.22999999999999998</v>
      </c>
      <c r="L13" s="4">
        <f>1.5-J13-K13</f>
        <v>1.93</v>
      </c>
      <c r="M13" s="4">
        <v>8.4700000000000006</v>
      </c>
      <c r="N13" s="7">
        <v>1.0409999999999999</v>
      </c>
      <c r="O13" s="5">
        <f t="shared" si="0"/>
        <v>-0.87709563164108617</v>
      </c>
      <c r="P13" s="5">
        <f t="shared" si="1"/>
        <v>-6.2049999999999992</v>
      </c>
      <c r="R13" s="10"/>
    </row>
    <row r="14" spans="1:18" s="11" customFormat="1" ht="15.6" x14ac:dyDescent="0.3">
      <c r="A14" s="11" t="s">
        <v>61</v>
      </c>
      <c r="O14" s="12"/>
      <c r="P14" s="12"/>
    </row>
    <row r="15" spans="1:18" x14ac:dyDescent="0.25">
      <c r="A15" s="10" t="s">
        <v>62</v>
      </c>
      <c r="B15" s="10">
        <v>1.15E-3</v>
      </c>
      <c r="C15" s="10">
        <v>3.0000000000000001E-5</v>
      </c>
      <c r="D15" s="10">
        <v>0</v>
      </c>
      <c r="E15" s="10">
        <v>1.72</v>
      </c>
      <c r="F15" s="10">
        <v>0</v>
      </c>
      <c r="G15" s="10">
        <v>0.02</v>
      </c>
      <c r="H15" s="10">
        <v>0.43</v>
      </c>
      <c r="I15" s="10">
        <v>1.7500000000000002</v>
      </c>
      <c r="J15" s="10">
        <v>1.42</v>
      </c>
      <c r="K15" s="10">
        <v>2.23</v>
      </c>
      <c r="L15" s="10">
        <f>5.3-K15-J15</f>
        <v>1.65</v>
      </c>
      <c r="M15" s="10">
        <v>2.56</v>
      </c>
      <c r="N15" s="13">
        <v>1.9</v>
      </c>
      <c r="O15" s="3">
        <f t="shared" ref="O15:O19" si="2">N15/M15-1</f>
        <v>-0.2578125</v>
      </c>
      <c r="P15" s="3">
        <f t="shared" ref="P15:P19" si="3">N15/J15-1</f>
        <v>0.3380281690140845</v>
      </c>
    </row>
    <row r="16" spans="1:18" x14ac:dyDescent="0.25">
      <c r="A16" s="10" t="s">
        <v>71</v>
      </c>
      <c r="B16" s="10">
        <v>1.15E-3</v>
      </c>
      <c r="C16" s="10">
        <v>3.0000000000000001E-5</v>
      </c>
      <c r="D16" s="10">
        <v>0</v>
      </c>
      <c r="E16" s="10">
        <v>1.72</v>
      </c>
      <c r="F16" s="10">
        <v>0</v>
      </c>
      <c r="G16" s="10">
        <v>0.02</v>
      </c>
      <c r="H16" s="10">
        <v>0.02</v>
      </c>
      <c r="I16" s="10">
        <v>1.29</v>
      </c>
      <c r="J16" s="10">
        <v>1.42</v>
      </c>
      <c r="K16" s="10">
        <v>2.2200000000000002</v>
      </c>
      <c r="L16" s="10">
        <f>4.93-K16-J16</f>
        <v>1.2899999999999996</v>
      </c>
      <c r="M16" s="10">
        <v>2.2999999999999998</v>
      </c>
      <c r="N16" s="13">
        <v>1.9</v>
      </c>
      <c r="O16" s="3">
        <f t="shared" si="2"/>
        <v>-0.17391304347826086</v>
      </c>
      <c r="P16" s="3">
        <f t="shared" si="3"/>
        <v>0.3380281690140845</v>
      </c>
    </row>
    <row r="17" spans="1:18" x14ac:dyDescent="0.25">
      <c r="A17" s="10" t="s">
        <v>63</v>
      </c>
      <c r="B17" s="10">
        <v>0.75741999999999998</v>
      </c>
      <c r="C17" s="10">
        <v>0.32103999999999999</v>
      </c>
      <c r="D17" s="10">
        <v>2.87181</v>
      </c>
      <c r="E17" s="10">
        <v>3.6339999999999999</v>
      </c>
      <c r="F17" s="10">
        <v>0.40576000000000001</v>
      </c>
      <c r="G17" s="10">
        <v>1.53</v>
      </c>
      <c r="H17" s="10">
        <v>3.16</v>
      </c>
      <c r="I17" s="10">
        <v>5.604239999999999</v>
      </c>
      <c r="J17" s="10">
        <v>3.5</v>
      </c>
      <c r="K17" s="10">
        <v>4.43</v>
      </c>
      <c r="L17" s="10">
        <f>10.67-K17-J17</f>
        <v>2.74</v>
      </c>
      <c r="M17" s="10">
        <v>5.54</v>
      </c>
      <c r="N17" s="13">
        <v>1.92</v>
      </c>
      <c r="O17" s="3">
        <f t="shared" si="2"/>
        <v>-0.6534296028880866</v>
      </c>
      <c r="P17" s="3">
        <f t="shared" si="3"/>
        <v>-0.4514285714285714</v>
      </c>
    </row>
    <row r="18" spans="1:18" x14ac:dyDescent="0.25">
      <c r="A18" s="10" t="s">
        <v>64</v>
      </c>
      <c r="B18" s="10">
        <v>0.75741999999999998</v>
      </c>
      <c r="C18" s="10">
        <v>0.32103999999999999</v>
      </c>
      <c r="D18" s="10">
        <v>2.87181</v>
      </c>
      <c r="E18" s="10">
        <v>3.6339999999999999</v>
      </c>
      <c r="F18" s="10">
        <v>0.40576000000000001</v>
      </c>
      <c r="G18" s="10">
        <v>1.53</v>
      </c>
      <c r="H18" s="10">
        <v>3.16</v>
      </c>
      <c r="I18" s="10">
        <v>5.604239999999999</v>
      </c>
      <c r="J18" s="10">
        <v>3.5</v>
      </c>
      <c r="K18" s="10">
        <v>4.43</v>
      </c>
      <c r="L18" s="10">
        <f>10.59-J18-K18</f>
        <v>2.66</v>
      </c>
      <c r="M18" s="10">
        <v>5.54</v>
      </c>
      <c r="N18" s="13">
        <v>1.92</v>
      </c>
      <c r="O18" s="3">
        <f t="shared" si="2"/>
        <v>-0.6534296028880866</v>
      </c>
      <c r="P18" s="3">
        <f t="shared" si="3"/>
        <v>-0.4514285714285714</v>
      </c>
    </row>
    <row r="19" spans="1:18" s="4" customFormat="1" ht="15.6" x14ac:dyDescent="0.3">
      <c r="A19" s="4" t="s">
        <v>65</v>
      </c>
      <c r="B19" s="4">
        <v>-0.75627</v>
      </c>
      <c r="C19" s="4">
        <v>-0.32101000000000002</v>
      </c>
      <c r="D19" s="4">
        <v>-2.87181</v>
      </c>
      <c r="E19" s="4">
        <v>-1.915</v>
      </c>
      <c r="F19" s="4">
        <v>-0.40576000000000001</v>
      </c>
      <c r="G19" s="4">
        <v>-1.51</v>
      </c>
      <c r="H19" s="4">
        <v>-2.73</v>
      </c>
      <c r="I19" s="4">
        <v>-3.8542399999999994</v>
      </c>
      <c r="J19" s="4">
        <v>-2.08</v>
      </c>
      <c r="K19" s="4">
        <v>-2.2000000000000002</v>
      </c>
      <c r="L19" s="4">
        <f>-5.37-K19-J19</f>
        <v>-1.0899999999999999</v>
      </c>
      <c r="M19" s="4">
        <v>-2.98</v>
      </c>
      <c r="N19" s="7">
        <v>-0.02</v>
      </c>
      <c r="O19" s="5">
        <f t="shared" si="2"/>
        <v>-0.99328859060402686</v>
      </c>
      <c r="P19" s="5">
        <f t="shared" si="3"/>
        <v>-0.99038461538461542</v>
      </c>
      <c r="R19" s="10"/>
    </row>
    <row r="20" spans="1:18" s="11" customFormat="1" ht="15.6" x14ac:dyDescent="0.3">
      <c r="A20" s="11" t="s">
        <v>66</v>
      </c>
      <c r="O20" s="12"/>
      <c r="P20" s="12"/>
    </row>
    <row r="21" spans="1:18" x14ac:dyDescent="0.25">
      <c r="A21" s="10" t="s">
        <v>62</v>
      </c>
      <c r="B21" s="10">
        <v>0.77386999999999995</v>
      </c>
      <c r="C21" s="10">
        <v>1.6880299999999999</v>
      </c>
      <c r="D21" s="10">
        <v>7.9430000000000001E-2</v>
      </c>
      <c r="E21" s="10">
        <v>0.316</v>
      </c>
      <c r="F21" s="10">
        <v>0.38113999999999998</v>
      </c>
      <c r="G21" s="10">
        <v>1.76</v>
      </c>
      <c r="H21" s="10">
        <v>4.93</v>
      </c>
      <c r="I21" s="10">
        <v>-1.1711399999999994</v>
      </c>
      <c r="J21" s="10">
        <v>2.96</v>
      </c>
      <c r="K21" s="10">
        <v>4.93</v>
      </c>
      <c r="L21" s="10">
        <f>12.11-K21-J21</f>
        <v>4.22</v>
      </c>
      <c r="M21" s="10">
        <v>0.28000000000000003</v>
      </c>
      <c r="N21" s="13">
        <v>7.29</v>
      </c>
      <c r="O21" s="3">
        <f t="shared" ref="O21:O23" si="4">N21/M21-1</f>
        <v>25.035714285714285</v>
      </c>
      <c r="P21" s="3">
        <f t="shared" ref="P21:P23" si="5">N21/J21-1</f>
        <v>1.4628378378378377</v>
      </c>
    </row>
    <row r="22" spans="1:18" x14ac:dyDescent="0.25">
      <c r="A22" s="10" t="s">
        <v>63</v>
      </c>
      <c r="B22" s="10">
        <v>1.2719499999999999</v>
      </c>
      <c r="C22" s="10">
        <v>1.9796499999999999</v>
      </c>
      <c r="D22" s="10">
        <v>-4.8059999999999999E-2</v>
      </c>
      <c r="E22" s="10">
        <v>0</v>
      </c>
      <c r="F22" s="10">
        <v>3.7493599999999998</v>
      </c>
      <c r="G22" s="10">
        <v>1.48</v>
      </c>
      <c r="H22" s="10">
        <v>-1.01</v>
      </c>
      <c r="I22" s="10">
        <v>1.0640000000000649E-2</v>
      </c>
      <c r="J22" s="10">
        <v>1.83</v>
      </c>
      <c r="K22" s="10">
        <v>3.2699999999999996</v>
      </c>
      <c r="L22" s="10">
        <f>9.4-K22-J22</f>
        <v>4.3000000000000007</v>
      </c>
      <c r="M22" s="10">
        <v>1.98</v>
      </c>
      <c r="N22" s="13">
        <v>6.48</v>
      </c>
      <c r="O22" s="3">
        <f t="shared" si="4"/>
        <v>2.2727272727272729</v>
      </c>
      <c r="P22" s="3">
        <f t="shared" si="5"/>
        <v>2.540983606557377</v>
      </c>
    </row>
    <row r="23" spans="1:18" s="4" customFormat="1" ht="15.6" x14ac:dyDescent="0.3">
      <c r="A23" s="4" t="s">
        <v>67</v>
      </c>
      <c r="B23" s="4">
        <v>-0.49808000000000002</v>
      </c>
      <c r="C23" s="4">
        <v>-0.29161999999999999</v>
      </c>
      <c r="D23" s="4">
        <v>0.12748999999999999</v>
      </c>
      <c r="E23" s="4">
        <v>0.316</v>
      </c>
      <c r="F23" s="4">
        <v>-3.36822</v>
      </c>
      <c r="G23" s="4">
        <v>0.26</v>
      </c>
      <c r="H23" s="4">
        <v>3.92</v>
      </c>
      <c r="I23" s="4">
        <v>0.8582200000000002</v>
      </c>
      <c r="J23" s="4">
        <v>1.1299999999999999</v>
      </c>
      <c r="K23" s="4">
        <v>1.6600000000000001</v>
      </c>
      <c r="L23" s="4">
        <f>2.71-K23-J23</f>
        <v>-8.0000000000000071E-2</v>
      </c>
      <c r="M23" s="4">
        <v>-1.7</v>
      </c>
      <c r="N23" s="7">
        <f>N21-N22</f>
        <v>0.80999999999999961</v>
      </c>
      <c r="O23" s="5">
        <f t="shared" si="4"/>
        <v>-1.476470588235294</v>
      </c>
      <c r="P23" s="5">
        <f t="shared" si="5"/>
        <v>-0.28318584070796493</v>
      </c>
      <c r="R23" s="10"/>
    </row>
    <row r="24" spans="1:18" s="11" customFormat="1" ht="15.6" x14ac:dyDescent="0.3">
      <c r="A24" s="11" t="s">
        <v>120</v>
      </c>
      <c r="O24" s="12"/>
      <c r="P24" s="12"/>
    </row>
    <row r="25" spans="1:18" x14ac:dyDescent="0.25">
      <c r="A25" s="10" t="s">
        <v>68</v>
      </c>
      <c r="B25" s="10">
        <v>0.33717999999999998</v>
      </c>
      <c r="C25" s="10">
        <v>6.0659999999999999E-2</v>
      </c>
      <c r="D25" s="10">
        <v>-0.47071000000000002</v>
      </c>
      <c r="E25" s="10">
        <v>0.311</v>
      </c>
      <c r="F25" s="10">
        <v>-8.7870000000000004E-2</v>
      </c>
      <c r="G25" s="10">
        <v>1.48</v>
      </c>
      <c r="H25" s="10">
        <v>0.83</v>
      </c>
      <c r="I25" s="10">
        <v>-0.58213000000000015</v>
      </c>
      <c r="J25" s="10">
        <v>-1.1399999999999999</v>
      </c>
      <c r="K25" s="10">
        <v>-0.78</v>
      </c>
      <c r="L25" s="10">
        <f>-1.16-K25-J25</f>
        <v>0.76</v>
      </c>
      <c r="M25" s="10">
        <v>3.79</v>
      </c>
      <c r="N25" s="41">
        <v>1.83</v>
      </c>
      <c r="O25" s="3">
        <f t="shared" ref="O25:O27" si="6">N25/M25-1</f>
        <v>-0.51715039577836408</v>
      </c>
      <c r="P25" s="3">
        <f t="shared" ref="P25:P27" si="7">N25/J25-1</f>
        <v>-2.6052631578947372</v>
      </c>
    </row>
    <row r="26" spans="1:18" x14ac:dyDescent="0.25">
      <c r="A26" s="10" t="s">
        <v>69</v>
      </c>
      <c r="B26" s="10">
        <v>0.86524000000000001</v>
      </c>
      <c r="C26" s="10">
        <v>1.20218</v>
      </c>
      <c r="D26" s="10">
        <v>2.4000000000000001E-4</v>
      </c>
      <c r="E26" s="10">
        <v>0.79200000000000004</v>
      </c>
      <c r="F26" s="10">
        <v>0.98677000000000004</v>
      </c>
      <c r="G26" s="10">
        <v>0.9</v>
      </c>
      <c r="H26" s="10">
        <v>2.38</v>
      </c>
      <c r="I26" s="10">
        <v>3.214</v>
      </c>
      <c r="J26" s="10">
        <v>2.62</v>
      </c>
      <c r="K26" s="10">
        <v>1.48</v>
      </c>
      <c r="L26" s="10">
        <v>0.7</v>
      </c>
      <c r="M26" s="10">
        <v>1.46</v>
      </c>
      <c r="N26" s="41">
        <v>5.26</v>
      </c>
      <c r="O26" s="3">
        <f t="shared" si="6"/>
        <v>2.602739726027397</v>
      </c>
      <c r="P26" s="3">
        <f t="shared" si="7"/>
        <v>1.0076335877862594</v>
      </c>
    </row>
    <row r="27" spans="1:18" x14ac:dyDescent="0.25">
      <c r="A27" s="10" t="s">
        <v>70</v>
      </c>
      <c r="B27" s="10">
        <v>1.20242</v>
      </c>
      <c r="C27" s="10">
        <v>1.26284</v>
      </c>
      <c r="D27" s="10">
        <v>-0.47047</v>
      </c>
      <c r="E27" s="10">
        <v>0.98699999999999999</v>
      </c>
      <c r="F27" s="10">
        <v>0.89890000000000003</v>
      </c>
      <c r="G27" s="10">
        <v>2.38</v>
      </c>
      <c r="H27" s="10">
        <v>3.21</v>
      </c>
      <c r="I27" s="10">
        <v>2.62</v>
      </c>
      <c r="J27" s="10">
        <v>1.48</v>
      </c>
      <c r="K27" s="10">
        <v>0.7</v>
      </c>
      <c r="L27" s="10">
        <v>1.46</v>
      </c>
      <c r="M27" s="10">
        <v>5.25</v>
      </c>
      <c r="N27" s="41">
        <v>7.0860000000000003</v>
      </c>
      <c r="O27" s="3">
        <f t="shared" si="6"/>
        <v>0.34971428571428587</v>
      </c>
      <c r="P27" s="3">
        <f t="shared" si="7"/>
        <v>3.7878378378378379</v>
      </c>
    </row>
    <row r="28" spans="1:18" x14ac:dyDescent="0.25">
      <c r="O28" s="10"/>
      <c r="P28" s="10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zoomScaleNormal="100" workbookViewId="0">
      <pane xSplit="1" ySplit="1" topLeftCell="B5" activePane="bottomRight" state="frozenSplit"/>
      <selection pane="topRight" activeCell="B1" sqref="B1"/>
      <selection pane="bottomLeft" activeCell="A2" sqref="A2"/>
      <selection pane="bottomRight"/>
    </sheetView>
  </sheetViews>
  <sheetFormatPr defaultColWidth="10.54296875" defaultRowHeight="15" x14ac:dyDescent="0.25"/>
  <cols>
    <col min="1" max="1" width="62.453125" style="10" bestFit="1" customWidth="1"/>
    <col min="2" max="5" width="10.54296875" style="10"/>
    <col min="6" max="6" width="10.54296875" style="41"/>
    <col min="7" max="7" width="10.54296875" style="10"/>
    <col min="8" max="8" width="10.54296875" style="3"/>
    <col min="9" max="16384" width="10.54296875" style="10"/>
  </cols>
  <sheetData>
    <row r="1" spans="1:8" s="4" customFormat="1" ht="15.6" x14ac:dyDescent="0.3">
      <c r="A1" s="6" t="s">
        <v>119</v>
      </c>
      <c r="B1" s="36">
        <v>2014</v>
      </c>
      <c r="C1" s="36">
        <v>2015</v>
      </c>
      <c r="D1" s="36">
        <v>2016</v>
      </c>
      <c r="E1" s="36">
        <v>2017</v>
      </c>
      <c r="F1" s="70" t="s">
        <v>166</v>
      </c>
      <c r="H1" s="5" t="s">
        <v>77</v>
      </c>
    </row>
    <row r="2" spans="1:8" s="11" customFormat="1" ht="15.6" x14ac:dyDescent="0.3">
      <c r="A2" s="11" t="s">
        <v>50</v>
      </c>
      <c r="F2" s="60"/>
      <c r="H2" s="12"/>
    </row>
    <row r="3" spans="1:8" x14ac:dyDescent="0.25">
      <c r="A3" s="10" t="s">
        <v>20</v>
      </c>
      <c r="B3" s="35">
        <v>3.282</v>
      </c>
      <c r="C3" s="35">
        <v>4.1429999999999998</v>
      </c>
      <c r="D3" s="35">
        <v>3.9609999999999999</v>
      </c>
      <c r="E3" s="35">
        <v>8.67</v>
      </c>
      <c r="F3" s="41">
        <f>Cashflow_Q!J3+Cashflow_Q!K3+Cashflow_Q!L3+Cashflow_Q!M3</f>
        <v>4.3899999999999988</v>
      </c>
      <c r="H3" s="3">
        <f>F3/E3-1</f>
        <v>-0.49365628604382938</v>
      </c>
    </row>
    <row r="4" spans="1:8" x14ac:dyDescent="0.25">
      <c r="A4" s="10" t="s">
        <v>51</v>
      </c>
      <c r="B4" s="35">
        <v>-1.194</v>
      </c>
      <c r="C4" s="35">
        <v>1.2170000000000001</v>
      </c>
      <c r="D4" s="35">
        <v>2.371</v>
      </c>
      <c r="E4" s="35">
        <v>-0.2</v>
      </c>
      <c r="F4" s="41">
        <f>Cashflow_Q!J4+Cashflow_Q!K4+Cashflow_Q!L4+Cashflow_Q!M4</f>
        <v>5.59</v>
      </c>
      <c r="H4" s="3">
        <f t="shared" ref="H4:H14" si="0">F4/E4-1</f>
        <v>-28.95</v>
      </c>
    </row>
    <row r="5" spans="1:8" x14ac:dyDescent="0.25">
      <c r="A5" s="10" t="s">
        <v>52</v>
      </c>
      <c r="B5" s="35">
        <v>3.3780000000000001</v>
      </c>
      <c r="C5" s="35">
        <v>3.6070000000000002</v>
      </c>
      <c r="D5" s="35">
        <v>4.4530000000000003</v>
      </c>
      <c r="E5" s="35">
        <v>5.03</v>
      </c>
      <c r="F5" s="41">
        <f>Cashflow_Q!J5+Cashflow_Q!K5+Cashflow_Q!L5+Cashflow_Q!M5</f>
        <v>7.28</v>
      </c>
      <c r="H5" s="3">
        <f t="shared" si="0"/>
        <v>0.44731610337972172</v>
      </c>
    </row>
    <row r="6" spans="1:8" x14ac:dyDescent="0.25">
      <c r="A6" s="10" t="s">
        <v>53</v>
      </c>
      <c r="B6" s="35">
        <v>-4.3999999999999997E-2</v>
      </c>
      <c r="C6" s="35">
        <v>8.9999999999999993E-3</v>
      </c>
      <c r="D6" s="35">
        <v>1.202</v>
      </c>
      <c r="E6" s="35">
        <v>-1.32</v>
      </c>
      <c r="F6" s="41">
        <f>Cashflow_Q!J6+Cashflow_Q!K6+Cashflow_Q!L6+Cashflow_Q!M6</f>
        <v>-4.0000000000000036E-2</v>
      </c>
      <c r="H6" s="3">
        <f t="shared" si="0"/>
        <v>-0.96969696969696972</v>
      </c>
    </row>
    <row r="7" spans="1:8" x14ac:dyDescent="0.25">
      <c r="A7" s="10" t="s">
        <v>54</v>
      </c>
      <c r="B7" s="35">
        <v>0.66500000000000004</v>
      </c>
      <c r="C7" s="35">
        <v>0.61</v>
      </c>
      <c r="D7" s="35">
        <v>0.61899999999999999</v>
      </c>
      <c r="E7" s="35">
        <v>0.73</v>
      </c>
      <c r="F7" s="41">
        <f>Cashflow_Q!J7+Cashflow_Q!K7+Cashflow_Q!L7+Cashflow_Q!M7</f>
        <v>1.1299999999999999</v>
      </c>
      <c r="H7" s="3">
        <f t="shared" si="0"/>
        <v>0.54794520547945202</v>
      </c>
    </row>
    <row r="8" spans="1:8" x14ac:dyDescent="0.25">
      <c r="A8" s="10" t="s">
        <v>111</v>
      </c>
      <c r="B8" s="35">
        <v>0.10100000000000001</v>
      </c>
      <c r="C8" s="35">
        <v>-0.111</v>
      </c>
      <c r="D8" s="35">
        <v>-4.5999999999999999E-2</v>
      </c>
      <c r="E8" s="35">
        <v>-0.04</v>
      </c>
      <c r="F8" s="41">
        <v>-0.53</v>
      </c>
      <c r="H8" s="3">
        <f t="shared" si="0"/>
        <v>12.25</v>
      </c>
    </row>
    <row r="9" spans="1:8" x14ac:dyDescent="0.25">
      <c r="A9" s="10" t="s">
        <v>55</v>
      </c>
      <c r="B9" s="35">
        <v>-0.71599999999999997</v>
      </c>
      <c r="C9" s="35">
        <v>-0.26200000000000001</v>
      </c>
      <c r="D9" s="35">
        <v>0.36799999999999999</v>
      </c>
      <c r="E9" s="35">
        <v>3.36</v>
      </c>
      <c r="F9" s="41">
        <f>Cashflow_Q!J8+Cashflow_Q!K8+Cashflow_Q!L8+Cashflow_Q!M8-0.01</f>
        <v>0.44999999999999973</v>
      </c>
      <c r="H9" s="3">
        <f t="shared" si="0"/>
        <v>-0.8660714285714286</v>
      </c>
    </row>
    <row r="10" spans="1:8" x14ac:dyDescent="0.25">
      <c r="A10" s="10" t="s">
        <v>56</v>
      </c>
      <c r="B10" s="35">
        <v>-1.0269999999999999</v>
      </c>
      <c r="C10" s="35">
        <v>3.8330000000000002</v>
      </c>
      <c r="D10" s="35">
        <v>-5.3</v>
      </c>
      <c r="E10" s="35">
        <v>-2.76</v>
      </c>
      <c r="F10" s="41">
        <f>Cashflow_Q!J9+Cashflow_Q!K9+Cashflow_Q!L9+Cashflow_Q!M9</f>
        <v>-5.08</v>
      </c>
      <c r="H10" s="3">
        <f t="shared" si="0"/>
        <v>0.84057971014492772</v>
      </c>
    </row>
    <row r="11" spans="1:8" s="1" customFormat="1" x14ac:dyDescent="0.25">
      <c r="A11" s="1" t="s">
        <v>57</v>
      </c>
      <c r="B11" s="32">
        <v>-2.661</v>
      </c>
      <c r="C11" s="32">
        <v>-1.4490000000000001</v>
      </c>
      <c r="D11" s="32">
        <v>-2.0350000000000001</v>
      </c>
      <c r="E11" s="32">
        <v>-4.2699999999999996</v>
      </c>
      <c r="F11" s="41">
        <f>Cashflow_Q!J10+Cashflow_Q!K10+Cashflow_Q!L10+Cashflow_Q!M10</f>
        <v>-4.17</v>
      </c>
      <c r="H11" s="3">
        <f t="shared" si="0"/>
        <v>-2.3419203747072515E-2</v>
      </c>
    </row>
    <row r="12" spans="1:8" s="1" customFormat="1" x14ac:dyDescent="0.25">
      <c r="A12" s="1" t="s">
        <v>58</v>
      </c>
      <c r="B12" s="32">
        <v>-0.78900000000000003</v>
      </c>
      <c r="C12" s="32">
        <v>-3.234</v>
      </c>
      <c r="D12" s="32">
        <v>4.734</v>
      </c>
      <c r="E12" s="32">
        <v>1.5</v>
      </c>
      <c r="F12" s="41">
        <f>Cashflow_Q!J11+Cashflow_Q!K11+Cashflow_Q!L11+Cashflow_Q!M11</f>
        <v>6.7100000000000009</v>
      </c>
      <c r="H12" s="3">
        <f t="shared" si="0"/>
        <v>3.4733333333333336</v>
      </c>
    </row>
    <row r="13" spans="1:8" x14ac:dyDescent="0.25">
      <c r="A13" s="10" t="s">
        <v>59</v>
      </c>
      <c r="B13" s="35">
        <v>0</v>
      </c>
      <c r="C13" s="35">
        <v>-1.724</v>
      </c>
      <c r="D13" s="35">
        <v>-1.554</v>
      </c>
      <c r="E13" s="35">
        <v>-2.35</v>
      </c>
      <c r="F13" s="41">
        <f>Cashflow_Q!J12+Cashflow_Q!K12+Cashflow_Q!L12+Cashflow_Q!M12</f>
        <v>2.9999999999999916E-2</v>
      </c>
      <c r="H13" s="3">
        <f t="shared" si="0"/>
        <v>-1.0127659574468084</v>
      </c>
    </row>
    <row r="14" spans="1:8" s="4" customFormat="1" ht="15.6" x14ac:dyDescent="0.3">
      <c r="A14" s="4" t="s">
        <v>60</v>
      </c>
      <c r="B14" s="31">
        <v>2.0880000000000001</v>
      </c>
      <c r="C14" s="31">
        <v>5.36</v>
      </c>
      <c r="D14" s="31">
        <v>6.3310000000000004</v>
      </c>
      <c r="E14" s="31">
        <v>8.4700000000000006</v>
      </c>
      <c r="F14" s="61">
        <v>9.98</v>
      </c>
      <c r="H14" s="5">
        <f t="shared" si="0"/>
        <v>0.1782762691853601</v>
      </c>
    </row>
    <row r="15" spans="1:8" s="11" customFormat="1" ht="15.6" x14ac:dyDescent="0.3">
      <c r="A15" s="11" t="s">
        <v>61</v>
      </c>
      <c r="F15" s="60"/>
      <c r="H15" s="12"/>
    </row>
    <row r="16" spans="1:8" s="1" customFormat="1" x14ac:dyDescent="0.25">
      <c r="A16" s="1" t="s">
        <v>62</v>
      </c>
      <c r="B16" s="32">
        <v>1.056</v>
      </c>
      <c r="C16" s="32">
        <v>9.8000000000000004E-2</v>
      </c>
      <c r="D16" s="32">
        <v>1.7210000000000001</v>
      </c>
      <c r="E16" s="32">
        <v>2.2000000000000002</v>
      </c>
      <c r="F16" s="41">
        <v>7.85</v>
      </c>
      <c r="H16" s="3">
        <f>F16/E16-1</f>
        <v>2.5681818181818179</v>
      </c>
    </row>
    <row r="17" spans="1:8" s="1" customFormat="1" x14ac:dyDescent="0.25">
      <c r="A17" s="1" t="s">
        <v>71</v>
      </c>
      <c r="B17" s="32">
        <v>1.0529999999999999</v>
      </c>
      <c r="C17" s="32">
        <v>9.8000000000000004E-2</v>
      </c>
      <c r="D17" s="32">
        <v>1.7210000000000001</v>
      </c>
      <c r="E17" s="32">
        <v>1.33</v>
      </c>
      <c r="F17" s="41">
        <f>Cashflow_Q!J16+Cashflow_Q!K16+Cashflow_Q!L16+Cashflow_Q!M16</f>
        <v>7.2299999999999995</v>
      </c>
      <c r="H17" s="3">
        <f>F17/E17-1</f>
        <v>4.436090225563909</v>
      </c>
    </row>
    <row r="18" spans="1:8" x14ac:dyDescent="0.25">
      <c r="A18" s="10" t="s">
        <v>63</v>
      </c>
      <c r="B18" s="35">
        <v>3.0760000000000001</v>
      </c>
      <c r="C18" s="35">
        <v>10.537000000000001</v>
      </c>
      <c r="D18" s="35">
        <v>7.585</v>
      </c>
      <c r="E18" s="35">
        <v>10.7</v>
      </c>
      <c r="F18" s="41">
        <f>Cashflow_Q!J17+Cashflow_Q!K17+Cashflow_Q!L17+Cashflow_Q!M17</f>
        <v>16.21</v>
      </c>
      <c r="H18" s="3">
        <f>F18/E18-1</f>
        <v>0.51495327102803756</v>
      </c>
    </row>
    <row r="19" spans="1:8" x14ac:dyDescent="0.25">
      <c r="A19" s="10" t="s">
        <v>64</v>
      </c>
      <c r="B19" s="35">
        <v>3.0760000000000001</v>
      </c>
      <c r="C19" s="35">
        <v>10.537000000000001</v>
      </c>
      <c r="D19" s="35">
        <v>7.585</v>
      </c>
      <c r="E19" s="35">
        <v>10.7</v>
      </c>
      <c r="F19" s="41">
        <v>16.170000000000002</v>
      </c>
      <c r="H19" s="3">
        <f>F19/E19-1</f>
        <v>0.51121495327102839</v>
      </c>
    </row>
    <row r="20" spans="1:8" s="4" customFormat="1" ht="15.6" x14ac:dyDescent="0.3">
      <c r="A20" s="4" t="s">
        <v>65</v>
      </c>
      <c r="B20" s="31">
        <v>-2.02</v>
      </c>
      <c r="C20" s="31">
        <v>-10.439</v>
      </c>
      <c r="D20" s="31">
        <v>-5.8639999999999999</v>
      </c>
      <c r="E20" s="31">
        <v>-8.5</v>
      </c>
      <c r="F20" s="61">
        <v>-8.36</v>
      </c>
      <c r="H20" s="5">
        <f>F20/E20-1</f>
        <v>-1.6470588235294237E-2</v>
      </c>
    </row>
    <row r="21" spans="1:8" s="11" customFormat="1" ht="15.6" x14ac:dyDescent="0.3">
      <c r="A21" s="11" t="s">
        <v>66</v>
      </c>
      <c r="F21" s="60"/>
      <c r="H21" s="12"/>
    </row>
    <row r="22" spans="1:8" x14ac:dyDescent="0.25">
      <c r="A22" s="10" t="s">
        <v>62</v>
      </c>
      <c r="B22" s="35">
        <v>1.472</v>
      </c>
      <c r="C22" s="35">
        <v>7.9329999999999998</v>
      </c>
      <c r="D22" s="35">
        <v>3.5779999999999998</v>
      </c>
      <c r="E22" s="35">
        <v>5.9</v>
      </c>
      <c r="F22" s="41">
        <f>Cashflow_Q!J21+Cashflow_Q!K21+Cashflow_Q!L21+Cashflow_Q!M21</f>
        <v>12.389999999999999</v>
      </c>
      <c r="H22" s="3">
        <f t="shared" ref="H22:H27" si="1">F22/E22-1</f>
        <v>1.0999999999999996</v>
      </c>
    </row>
    <row r="23" spans="1:8" x14ac:dyDescent="0.25">
      <c r="A23" s="10" t="s">
        <v>63</v>
      </c>
      <c r="B23" s="35">
        <v>3.6419999999999999</v>
      </c>
      <c r="C23" s="35">
        <v>3.6709999999999998</v>
      </c>
      <c r="D23" s="35">
        <v>3.9239999999999999</v>
      </c>
      <c r="E23" s="35">
        <v>4.2300000000000004</v>
      </c>
      <c r="F23" s="41">
        <f>Cashflow_Q!J22+Cashflow_Q!K22+Cashflow_Q!L22+Cashflow_Q!M22</f>
        <v>11.38</v>
      </c>
      <c r="H23" s="3">
        <f t="shared" si="1"/>
        <v>1.6903073286052011</v>
      </c>
    </row>
    <row r="24" spans="1:8" x14ac:dyDescent="0.25">
      <c r="A24" s="10" t="s">
        <v>112</v>
      </c>
      <c r="B24" s="35">
        <v>2.2890000000000001</v>
      </c>
      <c r="C24" s="35">
        <v>1.669</v>
      </c>
      <c r="D24" s="35">
        <v>1.87</v>
      </c>
      <c r="E24" s="35">
        <v>0.32</v>
      </c>
      <c r="F24" s="41">
        <v>6.11</v>
      </c>
      <c r="H24" s="3">
        <f t="shared" si="1"/>
        <v>18.09375</v>
      </c>
    </row>
    <row r="25" spans="1:8" x14ac:dyDescent="0.25">
      <c r="A25" s="10" t="s">
        <v>113</v>
      </c>
      <c r="B25" s="35">
        <v>0.68</v>
      </c>
      <c r="C25" s="35">
        <v>1.37</v>
      </c>
      <c r="D25" s="35">
        <v>1.397</v>
      </c>
      <c r="E25" s="35">
        <v>2.17</v>
      </c>
      <c r="F25" s="41">
        <v>2.9</v>
      </c>
      <c r="H25" s="3">
        <f t="shared" si="1"/>
        <v>0.33640552995391704</v>
      </c>
    </row>
    <row r="26" spans="1:8" x14ac:dyDescent="0.25">
      <c r="A26" s="10" t="s">
        <v>114</v>
      </c>
      <c r="B26" s="35">
        <v>0.67400000000000004</v>
      </c>
      <c r="C26" s="35">
        <v>0.63100000000000001</v>
      </c>
      <c r="D26" s="35">
        <v>0.65600000000000003</v>
      </c>
      <c r="E26" s="35">
        <v>0.73</v>
      </c>
      <c r="F26" s="41">
        <v>1.1499999999999999</v>
      </c>
      <c r="H26" s="3">
        <f t="shared" si="1"/>
        <v>0.57534246575342451</v>
      </c>
    </row>
    <row r="27" spans="1:8" s="4" customFormat="1" ht="15.6" x14ac:dyDescent="0.3">
      <c r="A27" s="4" t="s">
        <v>67</v>
      </c>
      <c r="B27" s="31">
        <v>-2.17</v>
      </c>
      <c r="C27" s="31">
        <v>4.2629999999999999</v>
      </c>
      <c r="D27" s="31">
        <v>-0.34599999999999997</v>
      </c>
      <c r="E27" s="31">
        <v>1.67</v>
      </c>
      <c r="F27" s="61">
        <v>1.01</v>
      </c>
      <c r="H27" s="5">
        <f t="shared" si="1"/>
        <v>-0.39520958083832336</v>
      </c>
    </row>
    <row r="28" spans="1:8" s="11" customFormat="1" ht="15.6" x14ac:dyDescent="0.3">
      <c r="A28" s="11" t="s">
        <v>120</v>
      </c>
      <c r="F28" s="60"/>
      <c r="H28" s="12"/>
    </row>
    <row r="29" spans="1:8" x14ac:dyDescent="0.25">
      <c r="A29" s="10" t="s">
        <v>68</v>
      </c>
      <c r="B29" s="35">
        <v>-2.1030000000000002</v>
      </c>
      <c r="C29" s="35">
        <v>-0.81599999999999995</v>
      </c>
      <c r="D29" s="35">
        <v>0.122</v>
      </c>
      <c r="E29" s="35">
        <v>1.64</v>
      </c>
      <c r="F29" s="41">
        <v>2.63</v>
      </c>
      <c r="H29" s="3">
        <f>F29/E29-1</f>
        <v>0.60365853658536595</v>
      </c>
    </row>
    <row r="30" spans="1:8" x14ac:dyDescent="0.25">
      <c r="A30" s="10" t="s">
        <v>69</v>
      </c>
      <c r="B30" s="35">
        <v>3.7850000000000001</v>
      </c>
      <c r="C30" s="35">
        <v>1.6819999999999999</v>
      </c>
      <c r="D30" s="35">
        <v>0.86499999999999999</v>
      </c>
      <c r="E30" s="35">
        <v>0.98</v>
      </c>
      <c r="F30" s="41">
        <v>2.63</v>
      </c>
      <c r="H30" s="3">
        <f>F30/E30-1</f>
        <v>1.6836734693877551</v>
      </c>
    </row>
    <row r="31" spans="1:8" x14ac:dyDescent="0.25">
      <c r="A31" s="10" t="s">
        <v>70</v>
      </c>
      <c r="B31" s="35">
        <v>1.6819999999999999</v>
      </c>
      <c r="C31" s="35">
        <v>0.86499999999999999</v>
      </c>
      <c r="D31" s="35">
        <v>0.98699999999999999</v>
      </c>
      <c r="E31" s="35">
        <v>2.62</v>
      </c>
      <c r="F31" s="41">
        <v>5.25</v>
      </c>
      <c r="H31" s="3">
        <f>F31/E31-1</f>
        <v>1.0038167938931295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"/>
  <sheetViews>
    <sheetView zoomScaleNormal="100" workbookViewId="0">
      <pane xSplit="1" ySplit="1" topLeftCell="I2" activePane="bottomRight" state="frozenSplit"/>
      <selection pane="topRight" activeCell="B1" sqref="B1"/>
      <selection pane="bottomLeft" activeCell="A2" sqref="A2"/>
      <selection pane="bottomRight" activeCell="N1" sqref="N1"/>
    </sheetView>
  </sheetViews>
  <sheetFormatPr defaultColWidth="10.54296875" defaultRowHeight="15" x14ac:dyDescent="0.25"/>
  <cols>
    <col min="1" max="1" width="36.26953125" style="1" customWidth="1"/>
    <col min="2" max="13" width="10.54296875" style="1" customWidth="1"/>
    <col min="14" max="14" width="10.54296875" style="8"/>
    <col min="15" max="16" width="10.54296875" style="3"/>
    <col min="17" max="17" width="10.54296875" style="1"/>
    <col min="18" max="18" width="0" style="1" hidden="1" customWidth="1"/>
    <col min="19" max="19" width="10.54296875" style="8" hidden="1" customWidth="1"/>
    <col min="20" max="22" width="0" style="1" hidden="1" customWidth="1"/>
    <col min="23" max="23" width="10.54296875" style="1" hidden="1" customWidth="1"/>
    <col min="24" max="24" width="10.54296875" style="8" hidden="1" customWidth="1"/>
    <col min="25" max="26" width="10.54296875" style="1" hidden="1" customWidth="1"/>
    <col min="27" max="16384" width="10.54296875" style="1"/>
  </cols>
  <sheetData>
    <row r="1" spans="1:26" s="4" customFormat="1" ht="15.6" x14ac:dyDescent="0.3">
      <c r="A1" s="6" t="s">
        <v>119</v>
      </c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151</v>
      </c>
      <c r="H1" s="4" t="s">
        <v>153</v>
      </c>
      <c r="I1" s="4" t="s">
        <v>157</v>
      </c>
      <c r="J1" s="4" t="s">
        <v>158</v>
      </c>
      <c r="K1" s="4" t="s">
        <v>160</v>
      </c>
      <c r="L1" s="4" t="s">
        <v>163</v>
      </c>
      <c r="M1" s="4" t="s">
        <v>165</v>
      </c>
      <c r="N1" s="7" t="s">
        <v>169</v>
      </c>
      <c r="O1" s="5" t="s">
        <v>78</v>
      </c>
      <c r="P1" s="5" t="s">
        <v>77</v>
      </c>
      <c r="R1" s="4" t="s">
        <v>152</v>
      </c>
      <c r="S1" s="7" t="s">
        <v>161</v>
      </c>
      <c r="U1" s="4" t="s">
        <v>77</v>
      </c>
      <c r="W1" s="31" t="s">
        <v>168</v>
      </c>
      <c r="X1" s="7" t="s">
        <v>166</v>
      </c>
      <c r="Z1" s="4" t="s">
        <v>77</v>
      </c>
    </row>
    <row r="2" spans="1:26" x14ac:dyDescent="0.25">
      <c r="A2" s="1" t="s">
        <v>73</v>
      </c>
      <c r="B2" s="1">
        <v>0.11254</v>
      </c>
      <c r="C2" s="1">
        <v>1.9519999999999999E-2</v>
      </c>
      <c r="D2" s="1">
        <v>3.9899999999999998E-2</v>
      </c>
      <c r="E2" s="1">
        <v>0.65347999999999995</v>
      </c>
      <c r="F2" s="1">
        <v>0.17580000000000001</v>
      </c>
      <c r="G2" s="1">
        <v>0.4</v>
      </c>
      <c r="H2" s="1">
        <f>(1011.3-481.5)/1000</f>
        <v>0.52979999999999994</v>
      </c>
      <c r="I2" s="1">
        <f>1151.9/1000</f>
        <v>1.1519000000000001</v>
      </c>
      <c r="J2" s="1">
        <v>0.156</v>
      </c>
      <c r="K2" s="1">
        <v>0.22</v>
      </c>
      <c r="L2" s="1">
        <v>0.41</v>
      </c>
      <c r="M2" s="1">
        <v>0.08</v>
      </c>
      <c r="N2" s="26">
        <v>0</v>
      </c>
      <c r="O2" s="3">
        <f>N2/M2-1</f>
        <v>-1</v>
      </c>
      <c r="P2" s="14">
        <f>N2/J2-1</f>
        <v>-1</v>
      </c>
      <c r="Q2" s="14"/>
      <c r="R2" s="1">
        <f t="shared" ref="R2:R7" si="0">SUM(F2:G2)</f>
        <v>0.57580000000000009</v>
      </c>
      <c r="S2" s="26">
        <f t="shared" ref="S2:S7" si="1">SUM(J2:L2)</f>
        <v>0.78600000000000003</v>
      </c>
      <c r="T2" s="3"/>
      <c r="U2" s="3">
        <f t="shared" ref="U2:U7" si="2">S2/R2-1</f>
        <v>0.36505731156651589</v>
      </c>
      <c r="W2" s="32">
        <f t="shared" ref="W2:W7" si="3">SUM(F2:I2)</f>
        <v>2.2575000000000003</v>
      </c>
      <c r="X2" s="8">
        <f t="shared" ref="X2:X7" si="4">SUM(J2:M2)</f>
        <v>0.86599999999999999</v>
      </c>
      <c r="Z2" s="3">
        <f t="shared" ref="Z2:Z7" si="5">X2/W2-1</f>
        <v>-0.61638981173864904</v>
      </c>
    </row>
    <row r="3" spans="1:26" x14ac:dyDescent="0.25">
      <c r="A3" s="1" t="s">
        <v>74</v>
      </c>
      <c r="B3" s="1">
        <v>0.14135</v>
      </c>
      <c r="C3" s="1">
        <v>4.9070000000000003E-2</v>
      </c>
      <c r="D3" s="1">
        <v>0.43437999999999999</v>
      </c>
      <c r="E3" s="1">
        <v>0.29980000000000001</v>
      </c>
      <c r="F3" s="1">
        <v>6.8400000000000002E-2</v>
      </c>
      <c r="G3" s="1">
        <v>7.0000000000000007E-2</v>
      </c>
      <c r="H3" s="1">
        <v>0.37569999999999998</v>
      </c>
      <c r="I3" s="1">
        <f>500.28/1000</f>
        <v>0.50027999999999995</v>
      </c>
      <c r="J3" s="1">
        <v>1.0064</v>
      </c>
      <c r="K3" s="1">
        <v>0.37</v>
      </c>
      <c r="L3" s="1">
        <v>0.23</v>
      </c>
      <c r="M3" s="1">
        <v>0.01</v>
      </c>
      <c r="N3" s="26">
        <v>0</v>
      </c>
      <c r="O3" s="3">
        <f t="shared" ref="O3:O7" si="6">N3/M3-1</f>
        <v>-1</v>
      </c>
      <c r="P3" s="14">
        <f t="shared" ref="P3:P7" si="7">N3/J3-1</f>
        <v>-1</v>
      </c>
      <c r="Q3" s="3"/>
      <c r="R3" s="1">
        <f t="shared" si="0"/>
        <v>0.13840000000000002</v>
      </c>
      <c r="S3" s="26">
        <f t="shared" si="1"/>
        <v>1.6063999999999998</v>
      </c>
      <c r="T3" s="3"/>
      <c r="U3" s="3">
        <f t="shared" si="2"/>
        <v>10.606936416184968</v>
      </c>
      <c r="W3" s="32">
        <f t="shared" si="3"/>
        <v>1.0143800000000001</v>
      </c>
      <c r="X3" s="8">
        <f t="shared" si="4"/>
        <v>1.6163999999999998</v>
      </c>
      <c r="Z3" s="3">
        <f t="shared" si="5"/>
        <v>0.59348567597941582</v>
      </c>
    </row>
    <row r="4" spans="1:26" x14ac:dyDescent="0.25">
      <c r="A4" s="1" t="s">
        <v>75</v>
      </c>
      <c r="B4" s="1">
        <v>0.40237000000000001</v>
      </c>
      <c r="C4" s="1">
        <v>7.7579999999999996E-2</v>
      </c>
      <c r="D4" s="1">
        <v>1.75109</v>
      </c>
      <c r="E4" s="1">
        <v>0.41781000000000001</v>
      </c>
      <c r="F4" s="1">
        <v>5.9499999999999997E-2</v>
      </c>
      <c r="G4" s="1">
        <v>0.06</v>
      </c>
      <c r="H4" s="1">
        <f>(302.5+1.6+86.6+481.5)/1000</f>
        <v>0.87220000000000009</v>
      </c>
      <c r="I4" s="1">
        <f>4511.24/1000</f>
        <v>4.5112399999999999</v>
      </c>
      <c r="J4" s="1">
        <v>1.976</v>
      </c>
      <c r="K4" s="1">
        <v>1.98</v>
      </c>
      <c r="L4" s="1">
        <v>2.57</v>
      </c>
      <c r="M4" s="1">
        <v>0.68</v>
      </c>
      <c r="N4" s="26">
        <v>0.5</v>
      </c>
      <c r="O4" s="3">
        <f t="shared" si="6"/>
        <v>-0.26470588235294124</v>
      </c>
      <c r="P4" s="14">
        <f t="shared" si="7"/>
        <v>-0.74696356275303644</v>
      </c>
      <c r="Q4" s="3"/>
      <c r="R4" s="1">
        <f t="shared" si="0"/>
        <v>0.1195</v>
      </c>
      <c r="S4" s="26">
        <f t="shared" si="1"/>
        <v>6.5259999999999998</v>
      </c>
      <c r="T4" s="3"/>
      <c r="U4" s="3">
        <f t="shared" si="2"/>
        <v>53.610878661087867</v>
      </c>
      <c r="W4" s="32">
        <f t="shared" si="3"/>
        <v>5.5029399999999997</v>
      </c>
      <c r="X4" s="8">
        <f t="shared" si="4"/>
        <v>7.2059999999999995</v>
      </c>
      <c r="Z4" s="3">
        <f t="shared" si="5"/>
        <v>0.30948184061610706</v>
      </c>
    </row>
    <row r="5" spans="1:26" x14ac:dyDescent="0.25">
      <c r="A5" s="1" t="s">
        <v>76</v>
      </c>
      <c r="B5" s="1">
        <v>0.44679999999999997</v>
      </c>
      <c r="C5" s="1">
        <v>0.56025000000000003</v>
      </c>
      <c r="D5" s="1">
        <v>0.45685999999999999</v>
      </c>
      <c r="E5" s="1">
        <v>1.09355</v>
      </c>
      <c r="F5" s="1">
        <f>0.0262+0.25</f>
        <v>0.2762</v>
      </c>
      <c r="G5" s="1">
        <v>0.6</v>
      </c>
      <c r="H5" s="1">
        <v>1.0318799999999999</v>
      </c>
      <c r="I5" s="1">
        <f>1524.18/1000</f>
        <v>1.5241800000000001</v>
      </c>
      <c r="J5" s="1">
        <v>1.1000000000000001</v>
      </c>
      <c r="K5" s="1">
        <v>2.02</v>
      </c>
      <c r="L5" s="1">
        <v>1.04</v>
      </c>
      <c r="M5" s="1">
        <v>1.48</v>
      </c>
      <c r="N5" s="26">
        <v>1.5</v>
      </c>
      <c r="O5" s="3">
        <f t="shared" si="6"/>
        <v>1.3513513513513598E-2</v>
      </c>
      <c r="P5" s="14">
        <f t="shared" si="7"/>
        <v>0.36363636363636354</v>
      </c>
      <c r="Q5" s="3"/>
      <c r="R5" s="1">
        <f t="shared" si="0"/>
        <v>0.87619999999999998</v>
      </c>
      <c r="S5" s="26">
        <f t="shared" si="1"/>
        <v>4.16</v>
      </c>
      <c r="T5" s="3"/>
      <c r="U5" s="3">
        <f t="shared" si="2"/>
        <v>3.7477744807121667</v>
      </c>
      <c r="W5" s="32">
        <f t="shared" si="3"/>
        <v>3.4322600000000003</v>
      </c>
      <c r="X5" s="8">
        <f t="shared" si="4"/>
        <v>5.6400000000000006</v>
      </c>
      <c r="Z5" s="3">
        <f t="shared" si="5"/>
        <v>0.64323215607209239</v>
      </c>
    </row>
    <row r="6" spans="1:26" x14ac:dyDescent="0.25">
      <c r="A6" s="1" t="s">
        <v>100</v>
      </c>
      <c r="B6" s="1">
        <v>5.586E-2</v>
      </c>
      <c r="C6" s="1">
        <v>6.8409999999999999E-2</v>
      </c>
      <c r="D6" s="1">
        <v>3.7019999999999997E-2</v>
      </c>
      <c r="E6" s="1">
        <v>0.10218000000000001</v>
      </c>
      <c r="F6" s="1">
        <v>3.866E-2</v>
      </c>
      <c r="G6" s="1">
        <v>0.1</v>
      </c>
      <c r="H6" s="1">
        <f>(477.76-302.5)/1000</f>
        <v>0.17526</v>
      </c>
      <c r="I6" s="1">
        <f>313.17/1000</f>
        <v>0.31317</v>
      </c>
      <c r="J6" s="1">
        <v>2.7E-2</v>
      </c>
      <c r="K6" s="1">
        <v>0.1</v>
      </c>
      <c r="L6" s="1">
        <v>0.4</v>
      </c>
      <c r="M6" s="1">
        <v>0.05</v>
      </c>
      <c r="N6" s="26">
        <v>0.04</v>
      </c>
      <c r="O6" s="3">
        <f t="shared" si="6"/>
        <v>-0.20000000000000007</v>
      </c>
      <c r="P6" s="14">
        <f t="shared" si="7"/>
        <v>0.48148148148148162</v>
      </c>
      <c r="Q6" s="3"/>
      <c r="R6" s="1">
        <f t="shared" si="0"/>
        <v>0.13866000000000001</v>
      </c>
      <c r="S6" s="26">
        <f t="shared" si="1"/>
        <v>0.52700000000000002</v>
      </c>
      <c r="T6" s="3"/>
      <c r="U6" s="3">
        <f t="shared" si="2"/>
        <v>2.8006634934371846</v>
      </c>
      <c r="W6" s="32">
        <f t="shared" si="3"/>
        <v>0.62708999999999993</v>
      </c>
      <c r="X6" s="8">
        <f t="shared" si="4"/>
        <v>0.57700000000000007</v>
      </c>
      <c r="Z6" s="3">
        <f t="shared" si="5"/>
        <v>-7.9876891674241168E-2</v>
      </c>
    </row>
    <row r="7" spans="1:26" s="4" customFormat="1" ht="15.6" x14ac:dyDescent="0.3">
      <c r="A7" s="4" t="s">
        <v>79</v>
      </c>
      <c r="B7" s="4">
        <f>SUM(B2:B6)</f>
        <v>1.1589200000000002</v>
      </c>
      <c r="C7" s="4">
        <f t="shared" ref="C7:H7" si="8">SUM(C2:C6)</f>
        <v>0.77483000000000002</v>
      </c>
      <c r="D7" s="4">
        <f t="shared" si="8"/>
        <v>2.7192499999999997</v>
      </c>
      <c r="E7" s="4">
        <f t="shared" si="8"/>
        <v>2.5668200000000003</v>
      </c>
      <c r="F7" s="4">
        <f t="shared" si="8"/>
        <v>0.61856000000000011</v>
      </c>
      <c r="G7" s="4">
        <f t="shared" si="8"/>
        <v>1.23</v>
      </c>
      <c r="H7" s="4">
        <f t="shared" si="8"/>
        <v>2.9848400000000002</v>
      </c>
      <c r="I7" s="4">
        <f t="shared" ref="I7:N7" si="9">SUM(I2:I6)</f>
        <v>8.000770000000001</v>
      </c>
      <c r="J7" s="4">
        <f t="shared" si="9"/>
        <v>4.2654000000000005</v>
      </c>
      <c r="K7" s="4">
        <f t="shared" si="9"/>
        <v>4.6899999999999995</v>
      </c>
      <c r="L7" s="4">
        <f t="shared" si="9"/>
        <v>4.6500000000000004</v>
      </c>
      <c r="M7" s="4">
        <f t="shared" si="9"/>
        <v>2.2999999999999998</v>
      </c>
      <c r="N7" s="40">
        <f t="shared" si="9"/>
        <v>2.04</v>
      </c>
      <c r="O7" s="5">
        <f t="shared" si="6"/>
        <v>-0.11304347826086947</v>
      </c>
      <c r="P7" s="5">
        <f t="shared" si="7"/>
        <v>-0.52173301448867637</v>
      </c>
      <c r="Q7" s="5"/>
      <c r="R7" s="4">
        <f t="shared" si="0"/>
        <v>1.84856</v>
      </c>
      <c r="S7" s="40">
        <f t="shared" si="1"/>
        <v>13.605400000000001</v>
      </c>
      <c r="T7" s="5"/>
      <c r="U7" s="5">
        <f t="shared" si="2"/>
        <v>6.3599991344614191</v>
      </c>
      <c r="W7" s="31">
        <f t="shared" si="3"/>
        <v>12.83417</v>
      </c>
      <c r="X7" s="7">
        <f t="shared" si="4"/>
        <v>15.9054</v>
      </c>
      <c r="Z7" s="5">
        <f t="shared" si="5"/>
        <v>0.23930102219309846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1"/>
  <sheetViews>
    <sheetView zoomScalePageLayoutView="120" workbookViewId="0">
      <pane xSplit="1" ySplit="1" topLeftCell="L2" activePane="bottomRight" state="frozenSplit"/>
      <selection pane="topRight" activeCell="B1" sqref="B1"/>
      <selection pane="bottomLeft" activeCell="A2" sqref="A2"/>
      <selection pane="bottomRight" activeCell="U13" sqref="U13"/>
    </sheetView>
  </sheetViews>
  <sheetFormatPr defaultColWidth="10.54296875" defaultRowHeight="15" x14ac:dyDescent="0.25"/>
  <cols>
    <col min="1" max="1" width="34.54296875" style="17" bestFit="1" customWidth="1"/>
    <col min="2" max="21" width="7" style="17" bestFit="1" customWidth="1"/>
    <col min="22" max="22" width="7" style="19" customWidth="1"/>
    <col min="23" max="16384" width="10.54296875" style="17"/>
  </cols>
  <sheetData>
    <row r="1" spans="1:25" s="16" customFormat="1" ht="15.6" x14ac:dyDescent="0.3">
      <c r="A1" s="15" t="s">
        <v>128</v>
      </c>
      <c r="B1" s="16" t="s">
        <v>121</v>
      </c>
      <c r="C1" s="16" t="s">
        <v>122</v>
      </c>
      <c r="D1" s="16" t="s">
        <v>123</v>
      </c>
      <c r="E1" s="16" t="s">
        <v>124</v>
      </c>
      <c r="F1" s="16" t="s">
        <v>125</v>
      </c>
      <c r="G1" s="16" t="s">
        <v>96</v>
      </c>
      <c r="H1" s="16" t="s">
        <v>97</v>
      </c>
      <c r="I1" s="16" t="s">
        <v>98</v>
      </c>
      <c r="J1" s="16" t="s">
        <v>101</v>
      </c>
      <c r="K1" s="16" t="s">
        <v>102</v>
      </c>
      <c r="L1" s="16" t="s">
        <v>103</v>
      </c>
      <c r="M1" s="16" t="s">
        <v>104</v>
      </c>
      <c r="N1" s="16" t="s">
        <v>105</v>
      </c>
      <c r="O1" s="16" t="s">
        <v>151</v>
      </c>
      <c r="P1" s="16" t="s">
        <v>153</v>
      </c>
      <c r="Q1" s="16" t="s">
        <v>157</v>
      </c>
      <c r="R1" s="16" t="s">
        <v>158</v>
      </c>
      <c r="S1" s="16" t="s">
        <v>160</v>
      </c>
      <c r="T1" s="16" t="s">
        <v>163</v>
      </c>
      <c r="U1" s="16" t="s">
        <v>165</v>
      </c>
      <c r="V1" s="18" t="s">
        <v>169</v>
      </c>
      <c r="X1" s="5" t="s">
        <v>78</v>
      </c>
      <c r="Y1" s="5" t="s">
        <v>77</v>
      </c>
    </row>
    <row r="2" spans="1:25" s="11" customFormat="1" ht="15.6" x14ac:dyDescent="0.3">
      <c r="A2" s="11" t="s">
        <v>4</v>
      </c>
      <c r="G2" s="12"/>
    </row>
    <row r="3" spans="1:25" x14ac:dyDescent="0.25">
      <c r="A3" s="17" t="s">
        <v>129</v>
      </c>
      <c r="B3" s="17">
        <v>398</v>
      </c>
      <c r="C3" s="17">
        <v>399</v>
      </c>
      <c r="D3" s="17">
        <v>440</v>
      </c>
      <c r="E3" s="17">
        <v>437</v>
      </c>
      <c r="F3" s="17">
        <v>443</v>
      </c>
      <c r="G3" s="17">
        <v>452</v>
      </c>
      <c r="H3" s="17">
        <v>484</v>
      </c>
      <c r="I3" s="17">
        <v>465</v>
      </c>
      <c r="J3" s="17">
        <v>475</v>
      </c>
      <c r="K3" s="17">
        <v>492</v>
      </c>
      <c r="L3" s="17">
        <v>532</v>
      </c>
      <c r="M3" s="17">
        <v>527</v>
      </c>
      <c r="N3" s="17">
        <v>539</v>
      </c>
      <c r="O3" s="17">
        <v>534</v>
      </c>
      <c r="P3" s="17">
        <v>555</v>
      </c>
      <c r="Q3" s="17">
        <v>576</v>
      </c>
      <c r="R3" s="17">
        <v>591</v>
      </c>
      <c r="S3" s="17">
        <v>602</v>
      </c>
      <c r="T3" s="17">
        <v>616</v>
      </c>
      <c r="U3" s="17">
        <v>614</v>
      </c>
      <c r="V3" s="19">
        <v>607</v>
      </c>
      <c r="X3" s="14">
        <f>V3/U3-1</f>
        <v>-1.1400651465798051E-2</v>
      </c>
      <c r="Y3" s="14">
        <f>V3/R3-1</f>
        <v>2.7072758037224975E-2</v>
      </c>
    </row>
    <row r="4" spans="1:25" s="11" customFormat="1" ht="15.6" x14ac:dyDescent="0.3">
      <c r="A4" s="11" t="s">
        <v>126</v>
      </c>
      <c r="G4" s="12"/>
    </row>
    <row r="5" spans="1:25" s="28" customFormat="1" x14ac:dyDescent="0.25">
      <c r="A5" s="27" t="s">
        <v>5</v>
      </c>
      <c r="B5" s="28">
        <v>0.38</v>
      </c>
      <c r="C5" s="28">
        <v>0.4</v>
      </c>
      <c r="D5" s="28">
        <v>0.39</v>
      </c>
      <c r="E5" s="28">
        <v>0.41</v>
      </c>
      <c r="F5" s="28">
        <v>0.42</v>
      </c>
      <c r="G5" s="28">
        <v>0.42</v>
      </c>
      <c r="H5" s="28">
        <v>0.41</v>
      </c>
      <c r="I5" s="28">
        <v>0.44</v>
      </c>
      <c r="J5" s="28">
        <v>0.44</v>
      </c>
      <c r="K5" s="28">
        <v>0.44</v>
      </c>
      <c r="L5" s="28">
        <v>0.43</v>
      </c>
      <c r="M5" s="28">
        <v>0.45</v>
      </c>
      <c r="N5" s="28">
        <v>0.45</v>
      </c>
      <c r="O5" s="28">
        <v>0.46</v>
      </c>
      <c r="P5" s="28">
        <v>0.47</v>
      </c>
      <c r="Q5" s="28">
        <v>0.49</v>
      </c>
      <c r="R5" s="28">
        <v>0.5</v>
      </c>
      <c r="S5" s="28">
        <v>0.51</v>
      </c>
      <c r="T5" s="28">
        <v>0.52</v>
      </c>
      <c r="U5" s="28">
        <v>0.52</v>
      </c>
      <c r="V5" s="29">
        <v>0.51</v>
      </c>
      <c r="X5" s="14">
        <f>V5-U5</f>
        <v>-1.0000000000000009E-2</v>
      </c>
      <c r="Y5" s="14">
        <f>V5-R5</f>
        <v>1.0000000000000009E-2</v>
      </c>
    </row>
    <row r="6" spans="1:25" s="28" customFormat="1" x14ac:dyDescent="0.25">
      <c r="A6" s="27" t="s">
        <v>6</v>
      </c>
      <c r="B6" s="28">
        <v>0.33</v>
      </c>
      <c r="C6" s="28">
        <v>0.32</v>
      </c>
      <c r="D6" s="28">
        <v>0.33</v>
      </c>
      <c r="E6" s="28">
        <v>0.33</v>
      </c>
      <c r="F6" s="28">
        <v>0.34</v>
      </c>
      <c r="G6" s="28">
        <v>0.34</v>
      </c>
      <c r="H6" s="28">
        <v>0.36</v>
      </c>
      <c r="I6" s="28">
        <v>0.34</v>
      </c>
      <c r="J6" s="28">
        <v>0.36</v>
      </c>
      <c r="K6" s="28">
        <v>0.36</v>
      </c>
      <c r="L6" s="28">
        <v>0.35</v>
      </c>
      <c r="M6" s="28">
        <v>0.35</v>
      </c>
      <c r="N6" s="28">
        <v>0.35</v>
      </c>
      <c r="O6" s="28">
        <v>0.35</v>
      </c>
      <c r="P6" s="28">
        <v>0.34</v>
      </c>
      <c r="Q6" s="28">
        <v>0.33</v>
      </c>
      <c r="R6" s="28">
        <v>0.32</v>
      </c>
      <c r="S6" s="28">
        <v>0.31</v>
      </c>
      <c r="T6" s="28">
        <v>0.31</v>
      </c>
      <c r="U6" s="28">
        <v>0.31</v>
      </c>
      <c r="V6" s="29">
        <v>0.32</v>
      </c>
      <c r="X6" s="14">
        <f t="shared" ref="X6:X8" si="0">V6-U6</f>
        <v>1.0000000000000009E-2</v>
      </c>
      <c r="Y6" s="14">
        <f t="shared" ref="Y6:Y8" si="1">V6-R6</f>
        <v>0</v>
      </c>
    </row>
    <row r="7" spans="1:25" s="28" customFormat="1" x14ac:dyDescent="0.25">
      <c r="A7" s="27" t="s">
        <v>7</v>
      </c>
      <c r="B7" s="28">
        <v>0.24</v>
      </c>
      <c r="C7" s="28">
        <v>0.23</v>
      </c>
      <c r="D7" s="28">
        <v>0.24</v>
      </c>
      <c r="E7" s="28">
        <v>0.22</v>
      </c>
      <c r="F7" s="28">
        <v>0.2</v>
      </c>
      <c r="G7" s="28">
        <v>0.2</v>
      </c>
      <c r="H7" s="28">
        <v>0.19</v>
      </c>
      <c r="I7" s="28">
        <v>0.18</v>
      </c>
      <c r="J7" s="28">
        <v>0.16</v>
      </c>
      <c r="K7" s="28">
        <v>0.16</v>
      </c>
      <c r="L7" s="28">
        <v>0.17</v>
      </c>
      <c r="M7" s="28">
        <v>0.16</v>
      </c>
      <c r="N7" s="28">
        <v>0.16</v>
      </c>
      <c r="O7" s="28">
        <v>0.15</v>
      </c>
      <c r="P7" s="28">
        <v>0.15</v>
      </c>
      <c r="Q7" s="28">
        <v>0.13</v>
      </c>
      <c r="R7" s="28">
        <v>0.13</v>
      </c>
      <c r="S7" s="28">
        <v>0.13</v>
      </c>
      <c r="T7" s="28">
        <v>0.13</v>
      </c>
      <c r="U7" s="28">
        <v>0.13</v>
      </c>
      <c r="V7" s="29">
        <v>0.13</v>
      </c>
      <c r="X7" s="14">
        <f t="shared" si="0"/>
        <v>0</v>
      </c>
      <c r="Y7" s="14">
        <f t="shared" si="1"/>
        <v>0</v>
      </c>
    </row>
    <row r="8" spans="1:25" s="28" customFormat="1" x14ac:dyDescent="0.25">
      <c r="A8" s="30" t="s">
        <v>8</v>
      </c>
      <c r="B8" s="28">
        <v>0.05</v>
      </c>
      <c r="C8" s="28">
        <v>0.05</v>
      </c>
      <c r="D8" s="28">
        <v>0.04</v>
      </c>
      <c r="E8" s="28">
        <v>0.04</v>
      </c>
      <c r="F8" s="28">
        <v>0.04</v>
      </c>
      <c r="G8" s="28">
        <v>0.04</v>
      </c>
      <c r="H8" s="28">
        <v>0.04</v>
      </c>
      <c r="I8" s="28">
        <v>0.04</v>
      </c>
      <c r="J8" s="28">
        <v>0.04</v>
      </c>
      <c r="K8" s="28">
        <v>0.04</v>
      </c>
      <c r="L8" s="28">
        <v>0.05</v>
      </c>
      <c r="M8" s="28">
        <v>0.04</v>
      </c>
      <c r="N8" s="28">
        <v>0.04</v>
      </c>
      <c r="O8" s="28">
        <v>0.04</v>
      </c>
      <c r="P8" s="28">
        <v>0.04</v>
      </c>
      <c r="Q8" s="28">
        <v>0.05</v>
      </c>
      <c r="R8" s="28">
        <v>0.05</v>
      </c>
      <c r="S8" s="28">
        <v>0.05</v>
      </c>
      <c r="T8" s="28">
        <v>0.04</v>
      </c>
      <c r="U8" s="28">
        <v>0.04</v>
      </c>
      <c r="V8" s="29">
        <v>0.04</v>
      </c>
      <c r="X8" s="14">
        <f t="shared" si="0"/>
        <v>0</v>
      </c>
      <c r="Y8" s="14">
        <f t="shared" si="1"/>
        <v>-1.0000000000000002E-2</v>
      </c>
    </row>
    <row r="9" spans="1:25" s="11" customFormat="1" ht="15.6" x14ac:dyDescent="0.3">
      <c r="A9" s="11" t="s">
        <v>127</v>
      </c>
      <c r="G9" s="12"/>
    </row>
    <row r="10" spans="1:25" s="28" customFormat="1" x14ac:dyDescent="0.25">
      <c r="A10" s="27" t="s">
        <v>9</v>
      </c>
      <c r="B10" s="28">
        <v>0.44</v>
      </c>
      <c r="C10" s="28">
        <v>0.45</v>
      </c>
      <c r="D10" s="28">
        <v>0.44</v>
      </c>
      <c r="E10" s="28">
        <v>0.43</v>
      </c>
      <c r="F10" s="28">
        <v>0.43</v>
      </c>
      <c r="G10" s="28">
        <v>0.44</v>
      </c>
      <c r="H10" s="28">
        <v>0.43</v>
      </c>
      <c r="I10" s="28">
        <v>0.43</v>
      </c>
      <c r="J10" s="28">
        <v>0.42</v>
      </c>
      <c r="K10" s="28">
        <v>0.42</v>
      </c>
      <c r="L10" s="28">
        <v>0.39</v>
      </c>
      <c r="M10" s="28">
        <v>0.42</v>
      </c>
      <c r="N10" s="28">
        <v>0.41</v>
      </c>
      <c r="O10" s="28">
        <v>0.41</v>
      </c>
      <c r="P10" s="28">
        <v>0.42</v>
      </c>
      <c r="Q10" s="28">
        <v>0.41</v>
      </c>
      <c r="R10" s="28">
        <v>0.4</v>
      </c>
      <c r="S10" s="28">
        <v>0.4</v>
      </c>
      <c r="T10" s="28">
        <v>0.39</v>
      </c>
      <c r="U10" s="28">
        <v>0.39</v>
      </c>
      <c r="V10" s="29">
        <v>0.4</v>
      </c>
      <c r="X10" s="14">
        <f>V10-U10</f>
        <v>1.0000000000000009E-2</v>
      </c>
      <c r="Y10" s="14">
        <f>V10-R10</f>
        <v>0</v>
      </c>
    </row>
    <row r="11" spans="1:25" s="28" customFormat="1" x14ac:dyDescent="0.25">
      <c r="A11" s="27" t="s">
        <v>10</v>
      </c>
      <c r="B11" s="28">
        <v>0.56000000000000005</v>
      </c>
      <c r="C11" s="28">
        <v>0.55000000000000004</v>
      </c>
      <c r="D11" s="28">
        <v>0.56000000000000005</v>
      </c>
      <c r="E11" s="28">
        <v>0.56999999999999995</v>
      </c>
      <c r="F11" s="28">
        <v>0.56999999999999995</v>
      </c>
      <c r="G11" s="28">
        <v>0.56000000000000005</v>
      </c>
      <c r="H11" s="28">
        <v>0.56999999999999995</v>
      </c>
      <c r="I11" s="28">
        <v>0.56999999999999995</v>
      </c>
      <c r="J11" s="28">
        <v>0.57999999999999996</v>
      </c>
      <c r="K11" s="28">
        <v>0.57999999999999996</v>
      </c>
      <c r="L11" s="28">
        <v>0.61</v>
      </c>
      <c r="M11" s="28">
        <v>0.57999999999999996</v>
      </c>
      <c r="N11" s="28">
        <v>0.59</v>
      </c>
      <c r="O11" s="28">
        <v>0.59</v>
      </c>
      <c r="P11" s="28">
        <v>0.57999999999999996</v>
      </c>
      <c r="Q11" s="28">
        <v>0.59</v>
      </c>
      <c r="R11" s="28">
        <v>0.6</v>
      </c>
      <c r="S11" s="28">
        <v>0.6</v>
      </c>
      <c r="T11" s="28">
        <v>0.61</v>
      </c>
      <c r="U11" s="28">
        <v>0.61</v>
      </c>
      <c r="V11" s="29">
        <v>0.6</v>
      </c>
      <c r="X11" s="14">
        <f>V11-U11</f>
        <v>-1.0000000000000009E-2</v>
      </c>
      <c r="Y11" s="14">
        <f>V11-R11</f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/>
  </sheetViews>
  <sheetFormatPr defaultColWidth="10.54296875" defaultRowHeight="15" x14ac:dyDescent="0.25"/>
  <cols>
    <col min="1" max="1" width="32.54296875" customWidth="1"/>
    <col min="2" max="2" width="26" style="20" customWidth="1"/>
    <col min="3" max="3" width="27.81640625" style="3" customWidth="1"/>
  </cols>
  <sheetData>
    <row r="1" spans="1:3" s="21" customFormat="1" ht="15.6" x14ac:dyDescent="0.3">
      <c r="A1" s="23" t="s">
        <v>171</v>
      </c>
      <c r="B1" s="22" t="s">
        <v>131</v>
      </c>
      <c r="C1" s="5" t="s">
        <v>132</v>
      </c>
    </row>
    <row r="2" spans="1:3" x14ac:dyDescent="0.25">
      <c r="A2" t="s">
        <v>0</v>
      </c>
      <c r="B2" s="20">
        <v>2670610</v>
      </c>
      <c r="C2" s="3">
        <f>B2/B$6</f>
        <v>0.37099173863697926</v>
      </c>
    </row>
    <row r="3" spans="1:3" x14ac:dyDescent="0.25">
      <c r="A3" t="s">
        <v>1</v>
      </c>
      <c r="B3" s="20">
        <v>1120000</v>
      </c>
      <c r="C3" s="3">
        <f>B3/B$6</f>
        <v>0.15558645675460542</v>
      </c>
    </row>
    <row r="4" spans="1:3" x14ac:dyDescent="0.25">
      <c r="A4" t="s">
        <v>3</v>
      </c>
      <c r="B4" s="20">
        <v>1266810</v>
      </c>
      <c r="C4" s="3">
        <f>B4/B$6</f>
        <v>0.1759807850725908</v>
      </c>
    </row>
    <row r="5" spans="1:3" x14ac:dyDescent="0.25">
      <c r="A5" t="s">
        <v>2</v>
      </c>
      <c r="B5" s="20">
        <v>2141150</v>
      </c>
      <c r="C5" s="3">
        <f>B5/B$6</f>
        <v>0.29744101953582447</v>
      </c>
    </row>
    <row r="6" spans="1:3" s="21" customFormat="1" ht="15.6" x14ac:dyDescent="0.3">
      <c r="A6" s="21" t="s">
        <v>130</v>
      </c>
      <c r="B6" s="22">
        <v>7198570</v>
      </c>
      <c r="C6" s="5">
        <f>B6/B$6</f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Informacje podstawowe</vt:lpstr>
      <vt:lpstr>R_wyników_Q</vt:lpstr>
      <vt:lpstr>Bilans</vt:lpstr>
      <vt:lpstr>R_wyników_FY</vt:lpstr>
      <vt:lpstr>Cashflow_Q</vt:lpstr>
      <vt:lpstr>Cashflow_FY</vt:lpstr>
      <vt:lpstr>Inwestycje</vt:lpstr>
      <vt:lpstr>HR</vt:lpstr>
      <vt:lpstr>Akcjonariat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LUG</dc:title>
  <dc:subject>Skonsolidowane wyniki finansowe LUG S.A.</dc:subject>
  <dc:creator>Marta Dobrołowicz</dc:creator>
  <cp:keywords/>
  <dc:description/>
  <cp:lastModifiedBy>Angelika Biały</cp:lastModifiedBy>
  <dcterms:created xsi:type="dcterms:W3CDTF">2017-05-04T17:59:23Z</dcterms:created>
  <dcterms:modified xsi:type="dcterms:W3CDTF">2019-05-16T06:15:43Z</dcterms:modified>
  <cp:category/>
</cp:coreProperties>
</file>